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4"/>
  </bookViews>
  <sheets>
    <sheet name="2015" sheetId="1" r:id="rId1"/>
    <sheet name="2016" sheetId="3" r:id="rId2"/>
    <sheet name="2017" sheetId="2" r:id="rId3"/>
    <sheet name="2018" sheetId="4" r:id="rId4"/>
    <sheet name="2019" sheetId="5" r:id="rId5"/>
  </sheets>
  <externalReferences>
    <externalReference r:id="rId6"/>
    <externalReference r:id="rId7"/>
  </externalReferences>
  <definedNames>
    <definedName name="god">[2]Титульный!$F$10</definedName>
  </definedNames>
  <calcPr calcId="145621"/>
</workbook>
</file>

<file path=xl/calcChain.xml><?xml version="1.0" encoding="utf-8"?>
<calcChain xmlns="http://schemas.openxmlformats.org/spreadsheetml/2006/main">
  <c r="G24" i="5" l="1"/>
  <c r="D14" i="5"/>
  <c r="C23" i="5"/>
  <c r="C22" i="5"/>
  <c r="C21" i="5"/>
  <c r="C20" i="5"/>
  <c r="C19" i="5"/>
  <c r="C17" i="5"/>
  <c r="C14" i="5"/>
  <c r="C13" i="5"/>
  <c r="C12" i="5"/>
  <c r="F7" i="5"/>
  <c r="F6" i="5" s="1"/>
  <c r="D6" i="5"/>
  <c r="D15" i="5" s="1"/>
  <c r="C2" i="5"/>
  <c r="C1" i="5"/>
  <c r="G22" i="4"/>
  <c r="D12" i="4"/>
  <c r="C21" i="4"/>
  <c r="C20" i="4"/>
  <c r="C19" i="4"/>
  <c r="C18" i="4"/>
  <c r="C17" i="4"/>
  <c r="C15" i="4"/>
  <c r="C12" i="4"/>
  <c r="C11" i="4"/>
  <c r="C10" i="4"/>
  <c r="F5" i="4"/>
  <c r="F4" i="4" s="1"/>
  <c r="D4" i="4"/>
  <c r="C2" i="4"/>
  <c r="C1" i="4"/>
  <c r="G22" i="2"/>
  <c r="D12" i="2"/>
  <c r="C1" i="2"/>
  <c r="C21" i="2"/>
  <c r="C20" i="2"/>
  <c r="C19" i="2"/>
  <c r="C18" i="2"/>
  <c r="C17" i="2"/>
  <c r="C15" i="2"/>
  <c r="C12" i="2"/>
  <c r="C11" i="2"/>
  <c r="C10" i="2"/>
  <c r="F5" i="2"/>
  <c r="F4" i="2" s="1"/>
  <c r="D4" i="2"/>
  <c r="D13" i="2" s="1"/>
  <c r="C2" i="2"/>
  <c r="G22" i="3"/>
  <c r="D12" i="3"/>
  <c r="C12" i="3" s="1"/>
  <c r="C10" i="3"/>
  <c r="C11" i="3"/>
  <c r="C6" i="5" l="1"/>
  <c r="D28" i="5"/>
  <c r="D18" i="5"/>
  <c r="G9" i="5" s="1"/>
  <c r="D25" i="5" s="1"/>
  <c r="F15" i="5"/>
  <c r="F28" i="5" s="1"/>
  <c r="C4" i="4"/>
  <c r="D13" i="4"/>
  <c r="F13" i="4"/>
  <c r="F26" i="4" s="1"/>
  <c r="C4" i="2"/>
  <c r="D26" i="2"/>
  <c r="D16" i="2"/>
  <c r="G7" i="2" s="1"/>
  <c r="D23" i="2" s="1"/>
  <c r="F13" i="2"/>
  <c r="F26" i="2" s="1"/>
  <c r="C4" i="3"/>
  <c r="C15" i="3"/>
  <c r="C17" i="3"/>
  <c r="C18" i="3"/>
  <c r="C19" i="3"/>
  <c r="C20" i="3"/>
  <c r="C21" i="3"/>
  <c r="C1" i="3"/>
  <c r="C2" i="3"/>
  <c r="D4" i="3"/>
  <c r="D13" i="3" s="1"/>
  <c r="F5" i="3"/>
  <c r="F4" i="3" s="1"/>
  <c r="F13" i="3" s="1"/>
  <c r="F18" i="5" l="1"/>
  <c r="G10" i="5" s="1"/>
  <c r="G7" i="5" s="1"/>
  <c r="G6" i="5" s="1"/>
  <c r="F25" i="5"/>
  <c r="D26" i="4"/>
  <c r="D16" i="4"/>
  <c r="G7" i="4" s="1"/>
  <c r="D23" i="4" s="1"/>
  <c r="F16" i="4"/>
  <c r="G8" i="4" s="1"/>
  <c r="F23" i="4" s="1"/>
  <c r="F16" i="2"/>
  <c r="G8" i="2" s="1"/>
  <c r="G5" i="2" s="1"/>
  <c r="G4" i="2" s="1"/>
  <c r="F23" i="2"/>
  <c r="D26" i="3"/>
  <c r="D16" i="3"/>
  <c r="G7" i="3" s="1"/>
  <c r="F16" i="3"/>
  <c r="G8" i="3" s="1"/>
  <c r="F23" i="3" s="1"/>
  <c r="F26" i="3"/>
  <c r="C1" i="1"/>
  <c r="C2" i="1"/>
  <c r="F4" i="1"/>
  <c r="F5" i="1"/>
  <c r="C10" i="1"/>
  <c r="C11" i="1"/>
  <c r="D12" i="1"/>
  <c r="D4" i="1" s="1"/>
  <c r="C15" i="1"/>
  <c r="C17" i="1"/>
  <c r="C18" i="1"/>
  <c r="C19" i="1"/>
  <c r="C20" i="1"/>
  <c r="C21" i="1"/>
  <c r="G22" i="1"/>
  <c r="G15" i="5" l="1"/>
  <c r="G5" i="4"/>
  <c r="G4" i="4" s="1"/>
  <c r="G13" i="2"/>
  <c r="G16" i="2" s="1"/>
  <c r="H9" i="2" s="1"/>
  <c r="H5" i="2" s="1"/>
  <c r="H4" i="2" s="1"/>
  <c r="G5" i="3"/>
  <c r="G4" i="3" s="1"/>
  <c r="G13" i="3" s="1"/>
  <c r="D23" i="3"/>
  <c r="D13" i="1"/>
  <c r="C4" i="1"/>
  <c r="F13" i="1"/>
  <c r="F26" i="1" s="1"/>
  <c r="C12" i="1"/>
  <c r="G28" i="5" l="1"/>
  <c r="G18" i="5"/>
  <c r="H11" i="5" s="1"/>
  <c r="H7" i="5" s="1"/>
  <c r="H6" i="5" s="1"/>
  <c r="G25" i="5"/>
  <c r="G13" i="4"/>
  <c r="G16" i="4"/>
  <c r="H9" i="4" s="1"/>
  <c r="H5" i="4" s="1"/>
  <c r="H4" i="4" s="1"/>
  <c r="G26" i="2"/>
  <c r="H13" i="2"/>
  <c r="H26" i="2" s="1"/>
  <c r="G23" i="2"/>
  <c r="G26" i="3"/>
  <c r="G16" i="3"/>
  <c r="H9" i="3" s="1"/>
  <c r="G23" i="3" s="1"/>
  <c r="F16" i="1"/>
  <c r="G8" i="1" s="1"/>
  <c r="F23" i="1" s="1"/>
  <c r="D26" i="1"/>
  <c r="D16" i="1"/>
  <c r="G7" i="1" s="1"/>
  <c r="G5" i="1" s="1"/>
  <c r="G4" i="1" s="1"/>
  <c r="H15" i="5" l="1"/>
  <c r="H18" i="5" s="1"/>
  <c r="H24" i="5" s="1"/>
  <c r="H13" i="4"/>
  <c r="H26" i="4" s="1"/>
  <c r="H16" i="4"/>
  <c r="H22" i="4" s="1"/>
  <c r="C22" i="4" s="1"/>
  <c r="G26" i="4"/>
  <c r="G23" i="4"/>
  <c r="H16" i="2"/>
  <c r="H22" i="2" s="1"/>
  <c r="C22" i="2" s="1"/>
  <c r="C13" i="2"/>
  <c r="C14" i="2" s="1"/>
  <c r="H5" i="3"/>
  <c r="H4" i="3" s="1"/>
  <c r="H13" i="3" s="1"/>
  <c r="C13" i="3" s="1"/>
  <c r="C14" i="3" s="1"/>
  <c r="D23" i="1"/>
  <c r="G13" i="1"/>
  <c r="C24" i="5" l="1"/>
  <c r="H25" i="5"/>
  <c r="H28" i="5"/>
  <c r="C15" i="5"/>
  <c r="C16" i="5" s="1"/>
  <c r="C13" i="4"/>
  <c r="H23" i="4"/>
  <c r="C16" i="4"/>
  <c r="C24" i="4" s="1"/>
  <c r="C26" i="4" s="1"/>
  <c r="C25" i="4" s="1"/>
  <c r="H23" i="2"/>
  <c r="C23" i="2"/>
  <c r="C16" i="2"/>
  <c r="C24" i="2" s="1"/>
  <c r="C26" i="2" s="1"/>
  <c r="C25" i="2" s="1"/>
  <c r="H16" i="3"/>
  <c r="H22" i="3" s="1"/>
  <c r="C22" i="3" s="1"/>
  <c r="C23" i="3" s="1"/>
  <c r="C16" i="3"/>
  <c r="C24" i="3" s="1"/>
  <c r="C26" i="3" s="1"/>
  <c r="C25" i="3" s="1"/>
  <c r="H26" i="3"/>
  <c r="G26" i="1"/>
  <c r="G16" i="1"/>
  <c r="H9" i="1" s="1"/>
  <c r="C18" i="5" l="1"/>
  <c r="C26" i="5" s="1"/>
  <c r="C28" i="5" s="1"/>
  <c r="C27" i="5" s="1"/>
  <c r="C25" i="5"/>
  <c r="C23" i="4"/>
  <c r="C14" i="4"/>
  <c r="H23" i="3"/>
  <c r="H5" i="1"/>
  <c r="H4" i="1" s="1"/>
  <c r="G23" i="1"/>
  <c r="H13" i="1" l="1"/>
  <c r="H26" i="1" l="1"/>
  <c r="C13" i="1"/>
  <c r="H16" i="1"/>
  <c r="H22" i="1" s="1"/>
  <c r="C22" i="1" l="1"/>
  <c r="H23" i="1"/>
  <c r="C26" i="1"/>
  <c r="C14" i="1"/>
  <c r="C23" i="1"/>
  <c r="C16" i="1"/>
  <c r="C24" i="1" s="1"/>
  <c r="C25" i="1" l="1"/>
</calcChain>
</file>

<file path=xl/sharedStrings.xml><?xml version="1.0" encoding="utf-8"?>
<sst xmlns="http://schemas.openxmlformats.org/spreadsheetml/2006/main" count="240" uniqueCount="47">
  <si>
    <t>потери сторонних</t>
  </si>
  <si>
    <t>4.3.4</t>
  </si>
  <si>
    <t>поступление на сторонних</t>
  </si>
  <si>
    <t>4.3.3</t>
  </si>
  <si>
    <t>справочно доля сторонних</t>
  </si>
  <si>
    <t>4.3.2</t>
  </si>
  <si>
    <t>Небаланс</t>
  </si>
  <si>
    <t>4.3.1</t>
  </si>
  <si>
    <t>сальдо переток в другие организации</t>
  </si>
  <si>
    <t>4.3</t>
  </si>
  <si>
    <t>потребителям оптового рынка</t>
  </si>
  <si>
    <t>4.2</t>
  </si>
  <si>
    <t>на генераторном напряжении</t>
  </si>
  <si>
    <t>4.1.3</t>
  </si>
  <si>
    <t>потребителям, присоединенным к центру питания</t>
  </si>
  <si>
    <t>4.1.2</t>
  </si>
  <si>
    <t>из них:</t>
  </si>
  <si>
    <t>4.1.1</t>
  </si>
  <si>
    <t>в т.ч.                                                                                    собственным потребителям ЭСО</t>
  </si>
  <si>
    <t xml:space="preserve">Полезный отпуск из сети </t>
  </si>
  <si>
    <t>Расход электроэнергии на производственные и хозяйственные нужды</t>
  </si>
  <si>
    <t>то же в % (п.1.1/п.1.3)</t>
  </si>
  <si>
    <t>2.1</t>
  </si>
  <si>
    <t xml:space="preserve">Потери электроэнергии в сети </t>
  </si>
  <si>
    <t>поступление эл. энергии от других организаций</t>
  </si>
  <si>
    <t>1.4</t>
  </si>
  <si>
    <t>от других поставщиков (в т.ч. с оптового рынка)</t>
  </si>
  <si>
    <t>1.3</t>
  </si>
  <si>
    <t>от электростанций ПЭ (ЭСО)</t>
  </si>
  <si>
    <t>1.2</t>
  </si>
  <si>
    <t>СН2</t>
  </si>
  <si>
    <t>1.1.4</t>
  </si>
  <si>
    <t>СНI</t>
  </si>
  <si>
    <t>1.1.3</t>
  </si>
  <si>
    <t>ВН</t>
  </si>
  <si>
    <t>1.1.2</t>
  </si>
  <si>
    <t>в том числе из сети</t>
  </si>
  <si>
    <t>1.1.1</t>
  </si>
  <si>
    <t>из смежной сети, всего</t>
  </si>
  <si>
    <t>1.1</t>
  </si>
  <si>
    <t xml:space="preserve">Поступление эл.энергии в сеть , ВСЕГО </t>
  </si>
  <si>
    <t>НН</t>
  </si>
  <si>
    <t>СН 2</t>
  </si>
  <si>
    <t>СН 1</t>
  </si>
  <si>
    <t>Всего</t>
  </si>
  <si>
    <t>Показатели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</si>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</sst>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Times New Roman CYR"/>
      <charset val="204"/>
    </font>
    <font>
      <i/>
      <sz val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theme="0"/>
      <name val="Tahoma"/>
      <family val="2"/>
      <charset val="204"/>
    </font>
    <font>
      <sz val="10"/>
      <name val="Arial Cyr"/>
    </font>
    <font>
      <b/>
      <sz val="9"/>
      <color indexed="23"/>
      <name val="Tahoma"/>
      <family val="2"/>
      <charset val="204"/>
    </font>
    <font>
      <sz val="9"/>
      <color indexed="23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 style="thick">
        <color theme="0" tint="-0.34998626667073579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/>
      <diagonal/>
    </border>
    <border>
      <left/>
      <right style="thick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ck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3"/>
      </top>
      <bottom/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55">
    <xf numFmtId="0" fontId="0" fillId="0" borderId="0" xfId="0"/>
    <xf numFmtId="4" fontId="2" fillId="2" borderId="1" xfId="1" applyNumberFormat="1" applyFont="1" applyFill="1" applyBorder="1" applyAlignment="1" applyProtection="1">
      <alignment horizontal="right" vertical="center"/>
    </xf>
    <xf numFmtId="4" fontId="2" fillId="2" borderId="2" xfId="1" applyNumberFormat="1" applyFont="1" applyFill="1" applyBorder="1" applyAlignment="1" applyProtection="1">
      <alignment horizontal="right" vertical="center"/>
    </xf>
    <xf numFmtId="4" fontId="2" fillId="2" borderId="2" xfId="2" applyNumberFormat="1" applyFont="1" applyFill="1" applyBorder="1" applyAlignment="1" applyProtection="1">
      <alignment horizontal="right" vertical="center"/>
    </xf>
    <xf numFmtId="0" fontId="2" fillId="0" borderId="3" xfId="2" applyFont="1" applyFill="1" applyBorder="1" applyAlignment="1" applyProtection="1">
      <alignment horizontal="left" vertical="center" wrapText="1" indent="2"/>
    </xf>
    <xf numFmtId="49" fontId="2" fillId="0" borderId="3" xfId="0" applyNumberFormat="1" applyFont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3" borderId="1" xfId="1" applyNumberFormat="1" applyFont="1" applyFill="1" applyBorder="1" applyAlignment="1" applyProtection="1">
      <alignment horizontal="right" vertical="center"/>
      <protection locked="0"/>
    </xf>
    <xf numFmtId="4" fontId="2" fillId="3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3" xfId="2" applyFont="1" applyBorder="1" applyAlignment="1">
      <alignment horizontal="left" vertical="center" wrapText="1" indent="1"/>
    </xf>
    <xf numFmtId="49" fontId="2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 indent="1"/>
    </xf>
    <xf numFmtId="4" fontId="2" fillId="3" borderId="1" xfId="2" applyNumberFormat="1" applyFont="1" applyFill="1" applyBorder="1" applyAlignment="1" applyProtection="1">
      <alignment horizontal="right" vertical="center"/>
      <protection locked="0"/>
    </xf>
    <xf numFmtId="4" fontId="2" fillId="3" borderId="2" xfId="2" applyNumberFormat="1" applyFont="1" applyFill="1" applyBorder="1" applyAlignment="1" applyProtection="1">
      <alignment horizontal="right" vertical="center"/>
      <protection locked="0"/>
    </xf>
    <xf numFmtId="0" fontId="2" fillId="0" borderId="3" xfId="2" applyFont="1" applyBorder="1" applyAlignment="1">
      <alignment horizontal="left" vertical="center" wrapText="1" indent="2"/>
    </xf>
    <xf numFmtId="0" fontId="2" fillId="0" borderId="4" xfId="2" applyFont="1" applyFill="1" applyBorder="1" applyAlignment="1" applyProtection="1">
      <alignment horizontal="left" vertical="center" wrapText="1" indent="1"/>
    </xf>
    <xf numFmtId="49" fontId="2" fillId="0" borderId="2" xfId="2" applyNumberFormat="1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 applyProtection="1">
      <alignment horizontal="right" vertical="center"/>
    </xf>
    <xf numFmtId="0" fontId="2" fillId="4" borderId="4" xfId="2" applyFont="1" applyFill="1" applyBorder="1" applyAlignment="1" applyProtection="1">
      <alignment horizontal="left"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4" fontId="5" fillId="2" borderId="2" xfId="2" applyNumberFormat="1" applyFont="1" applyFill="1" applyBorder="1" applyAlignment="1" applyProtection="1">
      <alignment horizontal="right" vertical="center"/>
    </xf>
    <xf numFmtId="0" fontId="2" fillId="4" borderId="0" xfId="2" applyFont="1" applyFill="1" applyBorder="1" applyAlignment="1" applyProtection="1">
      <alignment horizontal="left" vertical="center" wrapText="1"/>
    </xf>
    <xf numFmtId="4" fontId="6" fillId="0" borderId="2" xfId="2" applyNumberFormat="1" applyFont="1" applyFill="1" applyBorder="1" applyAlignment="1" applyProtection="1">
      <alignment horizontal="right" vertical="center"/>
    </xf>
    <xf numFmtId="4" fontId="2" fillId="3" borderId="5" xfId="2" applyNumberFormat="1" applyFont="1" applyFill="1" applyBorder="1" applyAlignment="1" applyProtection="1">
      <alignment horizontal="right" vertical="center"/>
      <protection locked="0"/>
    </xf>
    <xf numFmtId="4" fontId="2" fillId="0" borderId="2" xfId="2" applyNumberFormat="1" applyFont="1" applyFill="1" applyBorder="1" applyAlignment="1" applyProtection="1">
      <alignment horizontal="right" vertical="center"/>
    </xf>
    <xf numFmtId="4" fontId="2" fillId="0" borderId="5" xfId="2" applyNumberFormat="1" applyFont="1" applyFill="1" applyBorder="1" applyAlignment="1" applyProtection="1">
      <alignment horizontal="right" vertical="center"/>
    </xf>
    <xf numFmtId="4" fontId="2" fillId="2" borderId="5" xfId="2" applyNumberFormat="1" applyFont="1" applyFill="1" applyBorder="1" applyAlignment="1" applyProtection="1">
      <alignment horizontal="right" vertical="center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7" xfId="3" applyFont="1" applyBorder="1" applyAlignment="1" applyProtection="1">
      <alignment horizontal="center" vertical="center" wrapText="1"/>
    </xf>
    <xf numFmtId="0" fontId="2" fillId="0" borderId="7" xfId="2" applyNumberFormat="1" applyFont="1" applyFill="1" applyBorder="1" applyAlignment="1" applyProtection="1">
      <alignment horizontal="center" vertical="center" wrapText="1"/>
    </xf>
    <xf numFmtId="0" fontId="2" fillId="0" borderId="8" xfId="2" applyNumberFormat="1" applyFont="1" applyFill="1" applyBorder="1" applyAlignment="1" applyProtection="1">
      <alignment horizontal="center" vertical="center" wrapText="1"/>
    </xf>
    <xf numFmtId="0" fontId="2" fillId="0" borderId="9" xfId="2" applyNumberFormat="1" applyFont="1" applyFill="1" applyBorder="1" applyAlignment="1" applyProtection="1">
      <alignment horizontal="center" vertical="center" wrapText="1"/>
    </xf>
    <xf numFmtId="0" fontId="2" fillId="0" borderId="9" xfId="2" applyNumberFormat="1" applyFont="1" applyFill="1" applyBorder="1" applyAlignment="1" applyProtection="1">
      <alignment horizontal="center" vertical="center"/>
    </xf>
    <xf numFmtId="0" fontId="2" fillId="0" borderId="10" xfId="2" applyNumberFormat="1" applyFont="1" applyFill="1" applyBorder="1" applyAlignment="1" applyProtection="1">
      <alignment horizontal="center" vertical="center" wrapText="1"/>
    </xf>
    <xf numFmtId="0" fontId="2" fillId="0" borderId="11" xfId="2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 vertical="center" wrapText="1"/>
    </xf>
    <xf numFmtId="0" fontId="2" fillId="0" borderId="13" xfId="2" applyNumberFormat="1" applyFont="1" applyFill="1" applyBorder="1" applyAlignment="1" applyProtection="1">
      <alignment horizontal="center" vertical="center" wrapText="1"/>
    </xf>
    <xf numFmtId="0" fontId="2" fillId="0" borderId="14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 wrapText="1"/>
    </xf>
    <xf numFmtId="0" fontId="8" fillId="5" borderId="8" xfId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0" fontId="9" fillId="5" borderId="4" xfId="1" applyFont="1" applyFill="1" applyBorder="1" applyAlignment="1" applyProtection="1">
      <alignment horizontal="center" vertical="center" wrapText="1"/>
    </xf>
    <xf numFmtId="4" fontId="2" fillId="2" borderId="17" xfId="2" applyNumberFormat="1" applyFont="1" applyFill="1" applyBorder="1" applyAlignment="1" applyProtection="1">
      <alignment horizontal="right" vertical="center"/>
    </xf>
    <xf numFmtId="4" fontId="2" fillId="0" borderId="17" xfId="2" applyNumberFormat="1" applyFont="1" applyFill="1" applyBorder="1" applyAlignment="1" applyProtection="1">
      <alignment horizontal="right" vertical="center"/>
    </xf>
    <xf numFmtId="4" fontId="6" fillId="0" borderId="17" xfId="2" applyNumberFormat="1" applyFont="1" applyFill="1" applyBorder="1" applyAlignment="1" applyProtection="1">
      <alignment horizontal="right" vertical="center"/>
    </xf>
    <xf numFmtId="0" fontId="2" fillId="0" borderId="18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_FORM3.1" xfId="1"/>
    <cellStyle name="Обычный_methodics230802-pril1-3" xfId="2"/>
    <cellStyle name="Обычный_Образец шаблона Сетевые организаци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42;&#1042;&#1069;&#1050;/&#1040;&#1082;&#1090;&#1099;%20&#1087;&#1077;&#1088;&#1074;&#1080;&#1095;&#1085;&#1086;&#1075;&#1086;%20&#1091;&#1095;&#1077;&#1090;&#1072;/&#1057;&#1074;&#1086;&#1076;%20&#1087;&#1086;%20&#1072;&#1082;&#1090;&#1072;&#1084;%20&#1043;&#1055;&#1055;%20&#1053;&#1086;&#1074;&#1072;&#1103;%202013%20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80;&#1083;&#1072;\Desktop\&#1058;&#1072;&#1088;&#1080;&#1092;&#1085;&#1086;&#1077;%20&#1076;&#1077;&#1083;&#1086;%20&#1085;&#1072;%202015-2019\&#1064;&#1072;&#1073;&#1083;&#1086;&#1085;&#1099;%20&#1075;&#1086;&#1090;&#1086;&#1074;&#1099;&#1077;\ENERGY.KTL.NET.PLAN.2.52_(v1.1.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актам"/>
    </sheetNames>
    <sheetDataSet>
      <sheetData sheetId="0">
        <row r="15">
          <cell r="C15">
            <v>77.193423999999993</v>
          </cell>
          <cell r="J15">
            <v>73.393670999999998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SheetTitle"/>
      <sheetName val="modProvGeneralProc"/>
      <sheetName val="modCommonProv"/>
      <sheetName val="Инструкция"/>
      <sheetName val="Лог обновления"/>
      <sheetName val="modInstruction"/>
      <sheetName val="Титульный"/>
      <sheetName val="modDocs"/>
      <sheetName val="modfrmDocumentPicker"/>
      <sheetName val="modDocumentsAPI"/>
      <sheetName val="Форма 3.1 (L)"/>
      <sheetName val="F_3_1"/>
      <sheetName val="tech"/>
      <sheetName val="П1.30"/>
      <sheetName val="П1.4"/>
      <sheetName val="П1.5"/>
      <sheetName val="Комментарии"/>
      <sheetName val="Проверка"/>
      <sheetName val="modPass"/>
      <sheetName val="modProv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SELECTED_DOCS"/>
      <sheetName val="DOCS_DEPENDENCY"/>
      <sheetName val="modHLIcons"/>
      <sheetName val="modP1_30"/>
      <sheetName val="modP1_3"/>
      <sheetName val="modP1_6"/>
      <sheetName val="modfrmReestr"/>
      <sheetName val="modAuthorizationUtilities"/>
      <sheetName val="AUTHORIZATION"/>
      <sheetName val="modfrmCheckInIsInProgress"/>
      <sheetName val="modOrgData"/>
      <sheetName val="modExportData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B35" sqref="B35"/>
    </sheetView>
  </sheetViews>
  <sheetFormatPr defaultRowHeight="15" x14ac:dyDescent="0.25"/>
  <cols>
    <col min="2" max="2" width="27.140625" customWidth="1"/>
  </cols>
  <sheetData>
    <row r="1" spans="1:8" x14ac:dyDescent="0.25">
      <c r="A1" s="41" t="s">
        <v>46</v>
      </c>
      <c r="B1" s="40" t="s">
        <v>45</v>
      </c>
      <c r="C1" s="39" t="str">
        <f>" " &amp; IF(god="","Не определено",god) &amp; " год"</f>
        <v xml:space="preserve"> 2015 год</v>
      </c>
      <c r="D1" s="39"/>
      <c r="E1" s="39"/>
      <c r="F1" s="39"/>
      <c r="G1" s="39"/>
      <c r="H1" s="39"/>
    </row>
    <row r="2" spans="1:8" ht="15" customHeight="1" x14ac:dyDescent="0.25">
      <c r="A2" s="38"/>
      <c r="B2" s="37"/>
      <c r="C2" s="36" t="str">
        <f>IF(god,"Предложение организации на "&amp;god  &amp; " год","-")</f>
        <v>Предложение организации на 2015 год</v>
      </c>
      <c r="D2" s="35"/>
      <c r="E2" s="35"/>
      <c r="F2" s="35"/>
      <c r="G2" s="35"/>
      <c r="H2" s="34"/>
    </row>
    <row r="3" spans="1:8" x14ac:dyDescent="0.25">
      <c r="A3" s="33"/>
      <c r="B3" s="32"/>
      <c r="C3" s="31" t="s">
        <v>44</v>
      </c>
      <c r="D3" s="30" t="s">
        <v>34</v>
      </c>
      <c r="E3" s="30"/>
      <c r="F3" s="29" t="s">
        <v>43</v>
      </c>
      <c r="G3" s="29" t="s">
        <v>42</v>
      </c>
      <c r="H3" s="28" t="s">
        <v>41</v>
      </c>
    </row>
    <row r="4" spans="1:8" ht="19.5" customHeight="1" x14ac:dyDescent="0.25">
      <c r="A4" s="20">
        <v>1</v>
      </c>
      <c r="B4" s="19" t="s">
        <v>40</v>
      </c>
      <c r="C4" s="3">
        <f>C10+C11+C12</f>
        <v>133.656576</v>
      </c>
      <c r="D4" s="3">
        <f>D10+D11+D12</f>
        <v>37.826576000000003</v>
      </c>
      <c r="E4" s="3"/>
      <c r="F4" s="3">
        <f>F5+F10+F11+F12</f>
        <v>80.5</v>
      </c>
      <c r="G4" s="3">
        <f>G5+G10+G11+G12</f>
        <v>99.870264071999998</v>
      </c>
      <c r="H4" s="27">
        <f>H5+H10+H11+H12</f>
        <v>56.779656426424793</v>
      </c>
    </row>
    <row r="5" spans="1:8" ht="20.100000000000001" customHeight="1" x14ac:dyDescent="0.25">
      <c r="A5" s="11" t="s">
        <v>39</v>
      </c>
      <c r="B5" s="10" t="s">
        <v>38</v>
      </c>
      <c r="C5" s="25"/>
      <c r="D5" s="25"/>
      <c r="E5" s="25"/>
      <c r="F5" s="3">
        <f>F7</f>
        <v>0</v>
      </c>
      <c r="G5" s="3">
        <f>G7+G8</f>
        <v>84.540264071999999</v>
      </c>
      <c r="H5" s="27">
        <f>H8+H9</f>
        <v>56.779656426424793</v>
      </c>
    </row>
    <row r="6" spans="1:8" ht="20.100000000000001" customHeight="1" x14ac:dyDescent="0.25">
      <c r="A6" s="11" t="s">
        <v>37</v>
      </c>
      <c r="B6" s="15" t="s">
        <v>36</v>
      </c>
      <c r="C6" s="25"/>
      <c r="D6" s="25"/>
      <c r="E6" s="25"/>
      <c r="F6" s="25"/>
      <c r="G6" s="25"/>
      <c r="H6" s="26"/>
    </row>
    <row r="7" spans="1:8" ht="20.100000000000001" customHeight="1" x14ac:dyDescent="0.25">
      <c r="A7" s="11" t="s">
        <v>35</v>
      </c>
      <c r="B7" s="15" t="s">
        <v>34</v>
      </c>
      <c r="C7" s="25"/>
      <c r="D7" s="25"/>
      <c r="E7" s="25"/>
      <c r="F7" s="14"/>
      <c r="G7" s="14">
        <f>D16-D17-D22-F7</f>
        <v>4.0402640719999994</v>
      </c>
      <c r="H7" s="26"/>
    </row>
    <row r="8" spans="1:8" ht="20.100000000000001" customHeight="1" x14ac:dyDescent="0.25">
      <c r="A8" s="11" t="s">
        <v>33</v>
      </c>
      <c r="B8" s="15" t="s">
        <v>32</v>
      </c>
      <c r="C8" s="25"/>
      <c r="D8" s="25"/>
      <c r="E8" s="25"/>
      <c r="F8" s="25"/>
      <c r="G8" s="14">
        <f>F16-F17-F22-H8</f>
        <v>80.5</v>
      </c>
      <c r="H8" s="24"/>
    </row>
    <row r="9" spans="1:8" ht="20.100000000000001" customHeight="1" x14ac:dyDescent="0.25">
      <c r="A9" s="11" t="s">
        <v>31</v>
      </c>
      <c r="B9" s="15" t="s">
        <v>30</v>
      </c>
      <c r="C9" s="23"/>
      <c r="D9" s="23"/>
      <c r="E9" s="23"/>
      <c r="F9" s="23"/>
      <c r="G9" s="23"/>
      <c r="H9" s="13">
        <f>G16-G17-G21-G22</f>
        <v>56.779656426424793</v>
      </c>
    </row>
    <row r="10" spans="1:8" ht="20.100000000000001" customHeight="1" x14ac:dyDescent="0.25">
      <c r="A10" s="11" t="s">
        <v>29</v>
      </c>
      <c r="B10" s="10" t="s">
        <v>28</v>
      </c>
      <c r="C10" s="3">
        <f>D10+F10+G10+H10</f>
        <v>0</v>
      </c>
      <c r="D10" s="14"/>
      <c r="E10" s="14"/>
      <c r="F10" s="14"/>
      <c r="G10" s="14"/>
      <c r="H10" s="13"/>
    </row>
    <row r="11" spans="1:8" ht="20.100000000000001" customHeight="1" x14ac:dyDescent="0.25">
      <c r="A11" s="11" t="s">
        <v>27</v>
      </c>
      <c r="B11" s="10" t="s">
        <v>26</v>
      </c>
      <c r="C11" s="3">
        <f>D11+F11+G11+H11</f>
        <v>0</v>
      </c>
      <c r="D11" s="14"/>
      <c r="E11" s="14"/>
      <c r="F11" s="14"/>
      <c r="G11" s="14"/>
      <c r="H11" s="13"/>
    </row>
    <row r="12" spans="1:8" ht="20.100000000000001" customHeight="1" x14ac:dyDescent="0.25">
      <c r="A12" s="11" t="s">
        <v>25</v>
      </c>
      <c r="B12" s="10" t="s">
        <v>24</v>
      </c>
      <c r="C12" s="3">
        <f>D12+F12+G12+H12</f>
        <v>133.656576</v>
      </c>
      <c r="D12" s="14">
        <f>115.02-'[1]Свод по актам'!C15</f>
        <v>37.826576000000003</v>
      </c>
      <c r="E12" s="14"/>
      <c r="F12" s="14">
        <v>80.5</v>
      </c>
      <c r="G12" s="14">
        <v>15.33</v>
      </c>
      <c r="H12" s="13"/>
    </row>
    <row r="13" spans="1:8" ht="20.100000000000001" customHeight="1" x14ac:dyDescent="0.25">
      <c r="A13" s="20">
        <v>2</v>
      </c>
      <c r="B13" s="22" t="s">
        <v>23</v>
      </c>
      <c r="C13" s="3">
        <f>D13+F13+G13+H13</f>
        <v>7.9999123641757137</v>
      </c>
      <c r="D13" s="3">
        <f>D4*D14/100</f>
        <v>0.58631192800000009</v>
      </c>
      <c r="E13" s="21"/>
      <c r="F13" s="3">
        <f>F4*F14/100</f>
        <v>0</v>
      </c>
      <c r="G13" s="3">
        <f>G4*G14/100</f>
        <v>4.4042786455752001</v>
      </c>
      <c r="H13" s="18">
        <f>H4*H14/100</f>
        <v>3.0093217906005139</v>
      </c>
    </row>
    <row r="14" spans="1:8" ht="20.100000000000001" customHeight="1" x14ac:dyDescent="0.25">
      <c r="A14" s="17" t="s">
        <v>22</v>
      </c>
      <c r="B14" s="16" t="s">
        <v>21</v>
      </c>
      <c r="C14" s="3">
        <f>C13/C4*100</f>
        <v>5.9854236907697782</v>
      </c>
      <c r="D14" s="14">
        <v>1.55</v>
      </c>
      <c r="E14" s="14"/>
      <c r="F14" s="14">
        <v>0</v>
      </c>
      <c r="G14" s="14">
        <v>4.41</v>
      </c>
      <c r="H14" s="13">
        <v>5.3</v>
      </c>
    </row>
    <row r="15" spans="1:8" ht="20.100000000000001" customHeight="1" x14ac:dyDescent="0.25">
      <c r="A15" s="20">
        <v>3</v>
      </c>
      <c r="B15" s="19" t="s">
        <v>20</v>
      </c>
      <c r="C15" s="3">
        <f>D15+F15+G15+H15</f>
        <v>0</v>
      </c>
      <c r="D15" s="14"/>
      <c r="E15" s="14"/>
      <c r="F15" s="14"/>
      <c r="G15" s="14"/>
      <c r="H15" s="13"/>
    </row>
    <row r="16" spans="1:8" ht="20.100000000000001" customHeight="1" x14ac:dyDescent="0.25">
      <c r="A16" s="20">
        <v>4</v>
      </c>
      <c r="B16" s="19" t="s">
        <v>19</v>
      </c>
      <c r="C16" s="3">
        <f>C4-C13-C15</f>
        <v>125.65666363582429</v>
      </c>
      <c r="D16" s="3">
        <f>D4-D13-D15</f>
        <v>37.240264072000002</v>
      </c>
      <c r="E16" s="3"/>
      <c r="F16" s="3">
        <f>F4-F13-F15</f>
        <v>80.5</v>
      </c>
      <c r="G16" s="3">
        <f>G4-G13-G15</f>
        <v>95.465985426424794</v>
      </c>
      <c r="H16" s="18">
        <f>H4-H13-H15</f>
        <v>53.770334635824277</v>
      </c>
    </row>
    <row r="17" spans="1:8" ht="20.100000000000001" customHeight="1" x14ac:dyDescent="0.25">
      <c r="A17" s="17"/>
      <c r="B17" s="16" t="s">
        <v>18</v>
      </c>
      <c r="C17" s="3">
        <f>D17+F17+G17+H17</f>
        <v>0</v>
      </c>
      <c r="D17" s="14"/>
      <c r="E17" s="14"/>
      <c r="F17" s="14"/>
      <c r="G17" s="14"/>
      <c r="H17" s="13"/>
    </row>
    <row r="18" spans="1:8" ht="20.100000000000001" customHeight="1" x14ac:dyDescent="0.25">
      <c r="A18" s="11" t="s">
        <v>17</v>
      </c>
      <c r="B18" s="15" t="s">
        <v>16</v>
      </c>
      <c r="C18" s="3">
        <f>D18+F18+G18+H18</f>
        <v>0</v>
      </c>
      <c r="D18" s="14"/>
      <c r="E18" s="14"/>
      <c r="F18" s="14"/>
      <c r="G18" s="14"/>
      <c r="H18" s="13"/>
    </row>
    <row r="19" spans="1:8" ht="20.100000000000001" customHeight="1" x14ac:dyDescent="0.25">
      <c r="A19" s="11" t="s">
        <v>15</v>
      </c>
      <c r="B19" s="15" t="s">
        <v>14</v>
      </c>
      <c r="C19" s="3">
        <f>D19+F19+G19+H19</f>
        <v>0</v>
      </c>
      <c r="D19" s="14"/>
      <c r="E19" s="14"/>
      <c r="F19" s="14"/>
      <c r="G19" s="14"/>
      <c r="H19" s="13"/>
    </row>
    <row r="20" spans="1:8" ht="20.100000000000001" customHeight="1" x14ac:dyDescent="0.25">
      <c r="A20" s="11" t="s">
        <v>13</v>
      </c>
      <c r="B20" s="15" t="s">
        <v>12</v>
      </c>
      <c r="C20" s="3">
        <f>D20+F20+G20+H20</f>
        <v>0</v>
      </c>
      <c r="D20" s="14"/>
      <c r="E20" s="14"/>
      <c r="F20" s="14"/>
      <c r="G20" s="14"/>
      <c r="H20" s="13"/>
    </row>
    <row r="21" spans="1:8" ht="20.100000000000001" customHeight="1" x14ac:dyDescent="0.25">
      <c r="A21" s="11" t="s">
        <v>11</v>
      </c>
      <c r="B21" s="12" t="s">
        <v>10</v>
      </c>
      <c r="C21" s="3">
        <f>D21+F21+G21+H21</f>
        <v>0</v>
      </c>
      <c r="D21" s="9"/>
      <c r="E21" s="9"/>
      <c r="F21" s="9"/>
      <c r="G21" s="9"/>
      <c r="H21" s="8"/>
    </row>
    <row r="22" spans="1:8" ht="20.100000000000001" customHeight="1" x14ac:dyDescent="0.25">
      <c r="A22" s="11" t="s">
        <v>9</v>
      </c>
      <c r="B22" s="10" t="s">
        <v>8</v>
      </c>
      <c r="C22" s="3">
        <f>D22+F22+G22+H22</f>
        <v>125.65666363582429</v>
      </c>
      <c r="D22" s="9">
        <v>33.200000000000003</v>
      </c>
      <c r="E22" s="9"/>
      <c r="F22" s="9">
        <v>0</v>
      </c>
      <c r="G22" s="9">
        <f>112.08-'[1]Свод по актам'!J15</f>
        <v>38.686329000000001</v>
      </c>
      <c r="H22" s="8">
        <f>H16</f>
        <v>53.770334635824277</v>
      </c>
    </row>
    <row r="23" spans="1:8" ht="20.100000000000001" customHeight="1" x14ac:dyDescent="0.25">
      <c r="A23" s="5" t="s">
        <v>7</v>
      </c>
      <c r="B23" s="4" t="s">
        <v>6</v>
      </c>
      <c r="C23" s="3">
        <f>C4-C13-C15-C17-C22</f>
        <v>0</v>
      </c>
      <c r="D23" s="2">
        <f>D4-D13-D15-D17-D22-F7-G7</f>
        <v>0</v>
      </c>
      <c r="E23" s="2"/>
      <c r="F23" s="2">
        <f>F4-F13-F15-F17-F22-G8-H8</f>
        <v>0</v>
      </c>
      <c r="G23" s="2">
        <f>G4-G13-G15-G17-G22-H9</f>
        <v>0</v>
      </c>
      <c r="H23" s="1">
        <f>H4-H13-H15-H17-H22</f>
        <v>0</v>
      </c>
    </row>
    <row r="24" spans="1:8" ht="20.100000000000001" customHeight="1" x14ac:dyDescent="0.25">
      <c r="A24" s="5" t="s">
        <v>5</v>
      </c>
      <c r="B24" s="4" t="s">
        <v>4</v>
      </c>
      <c r="C24" s="3">
        <f>IF(C16 = 0,0,C22/C16)</f>
        <v>1</v>
      </c>
      <c r="D24" s="7"/>
      <c r="E24" s="7"/>
      <c r="F24" s="7"/>
      <c r="G24" s="7"/>
      <c r="H24" s="6"/>
    </row>
    <row r="25" spans="1:8" ht="20.100000000000001" customHeight="1" x14ac:dyDescent="0.25">
      <c r="A25" s="5" t="s">
        <v>3</v>
      </c>
      <c r="B25" s="4" t="s">
        <v>2</v>
      </c>
      <c r="C25" s="3">
        <f>C22+C26+C15*C24</f>
        <v>133.656576</v>
      </c>
      <c r="D25" s="7"/>
      <c r="E25" s="7"/>
      <c r="F25" s="7"/>
      <c r="G25" s="7"/>
      <c r="H25" s="6"/>
    </row>
    <row r="26" spans="1:8" ht="20.100000000000001" customHeight="1" x14ac:dyDescent="0.25">
      <c r="A26" s="5" t="s">
        <v>1</v>
      </c>
      <c r="B26" s="4" t="s">
        <v>0</v>
      </c>
      <c r="C26" s="3">
        <f>C13*C24</f>
        <v>7.9999123641757137</v>
      </c>
      <c r="D26" s="2">
        <f>D13*A$34</f>
        <v>0</v>
      </c>
      <c r="E26" s="2"/>
      <c r="F26" s="2">
        <f>F13*A$34</f>
        <v>0</v>
      </c>
      <c r="G26" s="2">
        <f>G13*A$34</f>
        <v>0</v>
      </c>
      <c r="H26" s="1">
        <f>H13*A$34</f>
        <v>0</v>
      </c>
    </row>
  </sheetData>
  <mergeCells count="4">
    <mergeCell ref="C1:H1"/>
    <mergeCell ref="C2:H2"/>
    <mergeCell ref="A1:A3"/>
    <mergeCell ref="B1:B3"/>
  </mergeCells>
  <dataValidations count="1">
    <dataValidation type="decimal" allowBlank="1" showInputMessage="1" showErrorMessage="1" errorTitle="Внимание" error="Допускается ввод только действительных чисел!" sqref="D21:H26">
      <formula1>-9.99999999999999E+23</formula1>
      <formula2>9.99999999999999E+23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20" sqref="M20"/>
    </sheetView>
  </sheetViews>
  <sheetFormatPr defaultRowHeight="15" x14ac:dyDescent="0.25"/>
  <cols>
    <col min="2" max="2" width="27.140625" customWidth="1"/>
  </cols>
  <sheetData>
    <row r="1" spans="1:8" ht="20.100000000000001" customHeight="1" x14ac:dyDescent="0.25">
      <c r="A1" s="41" t="s">
        <v>46</v>
      </c>
      <c r="B1" s="40" t="s">
        <v>45</v>
      </c>
      <c r="C1" s="47" t="str">
        <f>" " &amp; IF(god="","Не определено",god+1) &amp; " год"</f>
        <v xml:space="preserve"> 2016 год</v>
      </c>
      <c r="D1" s="39"/>
      <c r="E1" s="39"/>
      <c r="F1" s="39"/>
      <c r="G1" s="39"/>
      <c r="H1" s="39"/>
    </row>
    <row r="2" spans="1:8" ht="20.100000000000001" customHeight="1" x14ac:dyDescent="0.25">
      <c r="A2" s="38"/>
      <c r="B2" s="37"/>
      <c r="C2" s="45" t="str">
        <f>IF(god,"Предложение организации на "&amp;god+1 &amp; " год","-")</f>
        <v>Предложение организации на 2016 год</v>
      </c>
      <c r="D2" s="35"/>
      <c r="E2" s="35"/>
      <c r="F2" s="35"/>
      <c r="G2" s="35"/>
      <c r="H2" s="34"/>
    </row>
    <row r="3" spans="1:8" ht="20.100000000000001" customHeight="1" x14ac:dyDescent="0.25">
      <c r="A3" s="33"/>
      <c r="B3" s="32"/>
      <c r="C3" s="44" t="s">
        <v>44</v>
      </c>
      <c r="D3" s="30" t="s">
        <v>34</v>
      </c>
      <c r="E3" s="30"/>
      <c r="F3" s="29" t="s">
        <v>43</v>
      </c>
      <c r="G3" s="29" t="s">
        <v>42</v>
      </c>
      <c r="H3" s="28" t="s">
        <v>41</v>
      </c>
    </row>
    <row r="4" spans="1:8" ht="20.100000000000001" customHeight="1" x14ac:dyDescent="0.25">
      <c r="A4" s="20">
        <v>1</v>
      </c>
      <c r="B4" s="19" t="s">
        <v>40</v>
      </c>
      <c r="C4" s="3">
        <f>C10+C11+C12</f>
        <v>136.256576</v>
      </c>
      <c r="D4" s="3">
        <f>D10+D11+D12</f>
        <v>37.826576000000003</v>
      </c>
      <c r="E4" s="3"/>
      <c r="F4" s="3">
        <f>F5+F10+F11+F12</f>
        <v>83.1</v>
      </c>
      <c r="G4" s="3">
        <f>G5+G10+G11+G12</f>
        <v>102.47026407199999</v>
      </c>
      <c r="H4" s="27">
        <f>H5+H10+H11+H12</f>
        <v>56.764996426424787</v>
      </c>
    </row>
    <row r="5" spans="1:8" ht="20.100000000000001" customHeight="1" x14ac:dyDescent="0.25">
      <c r="A5" s="11" t="s">
        <v>39</v>
      </c>
      <c r="B5" s="10" t="s">
        <v>38</v>
      </c>
      <c r="C5" s="25"/>
      <c r="D5" s="25"/>
      <c r="E5" s="25"/>
      <c r="F5" s="3">
        <f>F7</f>
        <v>0</v>
      </c>
      <c r="G5" s="3">
        <f>G7+G8</f>
        <v>87.140264071999994</v>
      </c>
      <c r="H5" s="27">
        <f>H8+H9</f>
        <v>56.764996426424787</v>
      </c>
    </row>
    <row r="6" spans="1:8" ht="20.100000000000001" customHeight="1" x14ac:dyDescent="0.25">
      <c r="A6" s="11" t="s">
        <v>37</v>
      </c>
      <c r="B6" s="15" t="s">
        <v>36</v>
      </c>
      <c r="C6" s="25"/>
      <c r="D6" s="25"/>
      <c r="E6" s="25"/>
      <c r="F6" s="25"/>
      <c r="G6" s="25"/>
      <c r="H6" s="26"/>
    </row>
    <row r="7" spans="1:8" ht="20.100000000000001" customHeight="1" x14ac:dyDescent="0.25">
      <c r="A7" s="11" t="s">
        <v>35</v>
      </c>
      <c r="B7" s="15" t="s">
        <v>34</v>
      </c>
      <c r="C7" s="25"/>
      <c r="D7" s="25"/>
      <c r="E7" s="25"/>
      <c r="F7" s="14"/>
      <c r="G7" s="14">
        <f>D16-D17-D22-F7</f>
        <v>4.0402640719999994</v>
      </c>
      <c r="H7" s="26"/>
    </row>
    <row r="8" spans="1:8" ht="20.100000000000001" customHeight="1" x14ac:dyDescent="0.25">
      <c r="A8" s="11" t="s">
        <v>33</v>
      </c>
      <c r="B8" s="15" t="s">
        <v>32</v>
      </c>
      <c r="C8" s="25"/>
      <c r="D8" s="25"/>
      <c r="E8" s="25"/>
      <c r="F8" s="25"/>
      <c r="G8" s="14">
        <f>F16-F17-F22-H8</f>
        <v>83.1</v>
      </c>
      <c r="H8" s="24"/>
    </row>
    <row r="9" spans="1:8" ht="20.100000000000001" customHeight="1" x14ac:dyDescent="0.25">
      <c r="A9" s="11" t="s">
        <v>31</v>
      </c>
      <c r="B9" s="15" t="s">
        <v>30</v>
      </c>
      <c r="C9" s="23"/>
      <c r="D9" s="23"/>
      <c r="E9" s="23"/>
      <c r="F9" s="23"/>
      <c r="G9" s="23"/>
      <c r="H9" s="13">
        <f>G16-G17-G21-G22</f>
        <v>56.764996426424787</v>
      </c>
    </row>
    <row r="10" spans="1:8" ht="20.100000000000001" customHeight="1" x14ac:dyDescent="0.25">
      <c r="A10" s="11" t="s">
        <v>29</v>
      </c>
      <c r="B10" s="10" t="s">
        <v>28</v>
      </c>
      <c r="C10" s="3">
        <f>D10+F10+G10+H10</f>
        <v>0</v>
      </c>
      <c r="D10" s="14"/>
      <c r="E10" s="14"/>
      <c r="F10" s="14"/>
      <c r="G10" s="14"/>
      <c r="H10" s="13"/>
    </row>
    <row r="11" spans="1:8" ht="20.100000000000001" customHeight="1" x14ac:dyDescent="0.25">
      <c r="A11" s="11" t="s">
        <v>27</v>
      </c>
      <c r="B11" s="10" t="s">
        <v>26</v>
      </c>
      <c r="C11" s="3">
        <f>D11+F11+G11+H11</f>
        <v>0</v>
      </c>
      <c r="D11" s="14"/>
      <c r="E11" s="14"/>
      <c r="F11" s="14"/>
      <c r="G11" s="14"/>
      <c r="H11" s="13"/>
    </row>
    <row r="12" spans="1:8" ht="20.100000000000001" customHeight="1" x14ac:dyDescent="0.25">
      <c r="A12" s="11" t="s">
        <v>25</v>
      </c>
      <c r="B12" s="10" t="s">
        <v>24</v>
      </c>
      <c r="C12" s="3">
        <f>D12+F12+G12+H12</f>
        <v>136.256576</v>
      </c>
      <c r="D12" s="14">
        <f>115.02-'[1]Свод по актам'!$C$15</f>
        <v>37.826576000000003</v>
      </c>
      <c r="E12" s="14"/>
      <c r="F12" s="14">
        <v>83.1</v>
      </c>
      <c r="G12" s="14">
        <v>15.33</v>
      </c>
      <c r="H12" s="13"/>
    </row>
    <row r="13" spans="1:8" ht="20.100000000000001" customHeight="1" x14ac:dyDescent="0.25">
      <c r="A13" s="20">
        <v>2</v>
      </c>
      <c r="B13" s="22" t="s">
        <v>23</v>
      </c>
      <c r="C13" s="3">
        <f>D13+F13+G13+H13</f>
        <v>8.159207381316854</v>
      </c>
      <c r="D13" s="3">
        <f>D4*D14/100</f>
        <v>0.58631192800000009</v>
      </c>
      <c r="E13" s="21"/>
      <c r="F13" s="3">
        <f>F4*F14/100</f>
        <v>0</v>
      </c>
      <c r="G13" s="3">
        <f>G4*G14/100</f>
        <v>4.5189386455751999</v>
      </c>
      <c r="H13" s="18">
        <f>H4*H14/100</f>
        <v>3.0539568077416535</v>
      </c>
    </row>
    <row r="14" spans="1:8" ht="20.100000000000001" customHeight="1" x14ac:dyDescent="0.25">
      <c r="A14" s="17" t="s">
        <v>22</v>
      </c>
      <c r="B14" s="16" t="s">
        <v>21</v>
      </c>
      <c r="C14" s="3">
        <f>C13/C4*100</f>
        <v>5.988120075259233</v>
      </c>
      <c r="D14" s="14">
        <v>1.55</v>
      </c>
      <c r="E14" s="14"/>
      <c r="F14" s="14">
        <v>0</v>
      </c>
      <c r="G14" s="14">
        <v>4.41</v>
      </c>
      <c r="H14" s="13">
        <v>5.38</v>
      </c>
    </row>
    <row r="15" spans="1:8" ht="20.100000000000001" customHeight="1" x14ac:dyDescent="0.25">
      <c r="A15" s="20">
        <v>3</v>
      </c>
      <c r="B15" s="19" t="s">
        <v>20</v>
      </c>
      <c r="C15" s="3">
        <f>D15+F15+G15+H15</f>
        <v>0</v>
      </c>
      <c r="D15" s="14"/>
      <c r="E15" s="14"/>
      <c r="F15" s="14"/>
      <c r="G15" s="14"/>
      <c r="H15" s="13"/>
    </row>
    <row r="16" spans="1:8" ht="20.100000000000001" customHeight="1" x14ac:dyDescent="0.25">
      <c r="A16" s="20">
        <v>4</v>
      </c>
      <c r="B16" s="19" t="s">
        <v>19</v>
      </c>
      <c r="C16" s="3">
        <f>C4-C13-C15</f>
        <v>128.09736861868313</v>
      </c>
      <c r="D16" s="3">
        <f>D4-D13-D15</f>
        <v>37.240264072000002</v>
      </c>
      <c r="E16" s="3"/>
      <c r="F16" s="3">
        <f>F4-F13-F15</f>
        <v>83.1</v>
      </c>
      <c r="G16" s="3">
        <f>G4-G13-G15</f>
        <v>97.951325426424788</v>
      </c>
      <c r="H16" s="18">
        <f>H4-H13-H15</f>
        <v>53.711039618683131</v>
      </c>
    </row>
    <row r="17" spans="1:8" ht="20.100000000000001" customHeight="1" x14ac:dyDescent="0.25">
      <c r="A17" s="17"/>
      <c r="B17" s="16" t="s">
        <v>18</v>
      </c>
      <c r="C17" s="3">
        <f>D17+F17+G17+H17</f>
        <v>0</v>
      </c>
      <c r="D17" s="14"/>
      <c r="E17" s="14"/>
      <c r="F17" s="14"/>
      <c r="G17" s="14"/>
      <c r="H17" s="13"/>
    </row>
    <row r="18" spans="1:8" ht="20.100000000000001" customHeight="1" x14ac:dyDescent="0.25">
      <c r="A18" s="11" t="s">
        <v>17</v>
      </c>
      <c r="B18" s="15" t="s">
        <v>16</v>
      </c>
      <c r="C18" s="3">
        <f>D18+F18+G18+H18</f>
        <v>0</v>
      </c>
      <c r="D18" s="14"/>
      <c r="E18" s="14"/>
      <c r="F18" s="14"/>
      <c r="G18" s="14"/>
      <c r="H18" s="13"/>
    </row>
    <row r="19" spans="1:8" ht="20.100000000000001" customHeight="1" x14ac:dyDescent="0.25">
      <c r="A19" s="11" t="s">
        <v>15</v>
      </c>
      <c r="B19" s="15" t="s">
        <v>14</v>
      </c>
      <c r="C19" s="3">
        <f>D19+F19+G19+H19</f>
        <v>0</v>
      </c>
      <c r="D19" s="14"/>
      <c r="E19" s="14"/>
      <c r="F19" s="14"/>
      <c r="G19" s="14"/>
      <c r="H19" s="13"/>
    </row>
    <row r="20" spans="1:8" ht="20.100000000000001" customHeight="1" x14ac:dyDescent="0.25">
      <c r="A20" s="11" t="s">
        <v>13</v>
      </c>
      <c r="B20" s="15" t="s">
        <v>12</v>
      </c>
      <c r="C20" s="3">
        <f>D20+F20+G20+H20</f>
        <v>0</v>
      </c>
      <c r="D20" s="14"/>
      <c r="E20" s="14"/>
      <c r="F20" s="14"/>
      <c r="G20" s="14"/>
      <c r="H20" s="13"/>
    </row>
    <row r="21" spans="1:8" ht="20.100000000000001" customHeight="1" x14ac:dyDescent="0.25">
      <c r="A21" s="11" t="s">
        <v>11</v>
      </c>
      <c r="B21" s="12" t="s">
        <v>10</v>
      </c>
      <c r="C21" s="3">
        <f>D21+F21+G21+H21</f>
        <v>0</v>
      </c>
      <c r="D21" s="9"/>
      <c r="E21" s="9"/>
      <c r="F21" s="9"/>
      <c r="G21" s="9"/>
      <c r="H21" s="8"/>
    </row>
    <row r="22" spans="1:8" ht="20.100000000000001" customHeight="1" x14ac:dyDescent="0.25">
      <c r="A22" s="11" t="s">
        <v>9</v>
      </c>
      <c r="B22" s="10" t="s">
        <v>8</v>
      </c>
      <c r="C22" s="3">
        <f>D22+F22+G22+H22</f>
        <v>128.09736861868313</v>
      </c>
      <c r="D22" s="9">
        <v>33.200000000000003</v>
      </c>
      <c r="E22" s="9"/>
      <c r="F22" s="9">
        <v>0</v>
      </c>
      <c r="G22" s="9">
        <f>114.58-'[1]Свод по актам'!$J$15</f>
        <v>41.186329000000001</v>
      </c>
      <c r="H22" s="8">
        <f>H16</f>
        <v>53.711039618683131</v>
      </c>
    </row>
    <row r="23" spans="1:8" ht="20.100000000000001" customHeight="1" x14ac:dyDescent="0.25">
      <c r="A23" s="5" t="s">
        <v>7</v>
      </c>
      <c r="B23" s="4" t="s">
        <v>6</v>
      </c>
      <c r="C23" s="3">
        <f>C4-C13-C15-C17-C22</f>
        <v>0</v>
      </c>
      <c r="D23" s="2">
        <f>D4-D13-D15-D17-D22-F7-G7</f>
        <v>0</v>
      </c>
      <c r="E23" s="2"/>
      <c r="F23" s="2">
        <f>F4-F13-F15-F17-F22-G8-H8</f>
        <v>0</v>
      </c>
      <c r="G23" s="2">
        <f>G4-G13-G15-G17-G22-H9</f>
        <v>0</v>
      </c>
      <c r="H23" s="1">
        <f>H4-H13-H15-H17-H22</f>
        <v>0</v>
      </c>
    </row>
    <row r="24" spans="1:8" ht="20.100000000000001" customHeight="1" x14ac:dyDescent="0.25">
      <c r="A24" s="5" t="s">
        <v>5</v>
      </c>
      <c r="B24" s="4" t="s">
        <v>4</v>
      </c>
      <c r="C24" s="3">
        <f>IF(C16 = 0,0,C22/C16)</f>
        <v>1</v>
      </c>
      <c r="D24" s="7"/>
      <c r="E24" s="7"/>
      <c r="F24" s="7"/>
      <c r="G24" s="7"/>
      <c r="H24" s="6"/>
    </row>
    <row r="25" spans="1:8" ht="20.100000000000001" customHeight="1" x14ac:dyDescent="0.25">
      <c r="A25" s="5" t="s">
        <v>3</v>
      </c>
      <c r="B25" s="4" t="s">
        <v>2</v>
      </c>
      <c r="C25" s="3">
        <f>C22+C26+C15*C24</f>
        <v>136.256576</v>
      </c>
      <c r="D25" s="7"/>
      <c r="E25" s="7"/>
      <c r="F25" s="7"/>
      <c r="G25" s="7"/>
      <c r="H25" s="6"/>
    </row>
    <row r="26" spans="1:8" ht="20.100000000000001" customHeight="1" x14ac:dyDescent="0.25">
      <c r="A26" s="5" t="s">
        <v>1</v>
      </c>
      <c r="B26" s="4" t="s">
        <v>0</v>
      </c>
      <c r="C26" s="3">
        <f>C13*C24</f>
        <v>8.159207381316854</v>
      </c>
      <c r="D26" s="2">
        <f>D13*B$34</f>
        <v>0</v>
      </c>
      <c r="E26" s="2"/>
      <c r="F26" s="2">
        <f>F13*B$34</f>
        <v>0</v>
      </c>
      <c r="G26" s="2">
        <f>G13*B$34</f>
        <v>0</v>
      </c>
      <c r="H26" s="1">
        <f>H13*B$34</f>
        <v>0</v>
      </c>
    </row>
  </sheetData>
  <mergeCells count="4">
    <mergeCell ref="C1:H1"/>
    <mergeCell ref="C2:H2"/>
    <mergeCell ref="A1:A3"/>
    <mergeCell ref="B1:B3"/>
  </mergeCells>
  <dataValidations count="1">
    <dataValidation type="decimal" allowBlank="1" showInputMessage="1" showErrorMessage="1" errorTitle="Внимание" error="Допускается ввод только действительных чисел!" sqref="D21:H26">
      <formula1>-9.99999999999999E+23</formula1>
      <formula2>9.99999999999999E+23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20" sqref="M20"/>
    </sheetView>
  </sheetViews>
  <sheetFormatPr defaultRowHeight="15" x14ac:dyDescent="0.25"/>
  <cols>
    <col min="2" max="2" width="30.140625" customWidth="1"/>
  </cols>
  <sheetData>
    <row r="1" spans="1:8" ht="20.100000000000001" customHeight="1" x14ac:dyDescent="0.25">
      <c r="A1" s="41" t="s">
        <v>46</v>
      </c>
      <c r="B1" s="40" t="s">
        <v>45</v>
      </c>
      <c r="C1" s="46" t="str">
        <f>" " &amp; IF(god="","Не определено",god+2) &amp; " год"</f>
        <v xml:space="preserve"> 2017 год</v>
      </c>
      <c r="D1" s="54"/>
      <c r="E1" s="54"/>
      <c r="F1" s="54"/>
      <c r="G1" s="54"/>
      <c r="H1" s="54"/>
    </row>
    <row r="2" spans="1:8" ht="20.100000000000001" customHeight="1" x14ac:dyDescent="0.25">
      <c r="A2" s="38"/>
      <c r="B2" s="37"/>
      <c r="C2" s="36" t="str">
        <f>IF(god,"Предложение организации на "&amp;god +2&amp; " год","-")</f>
        <v>Предложение организации на 2017 год</v>
      </c>
      <c r="D2" s="35"/>
      <c r="E2" s="35"/>
      <c r="F2" s="35"/>
      <c r="G2" s="35"/>
      <c r="H2" s="34"/>
    </row>
    <row r="3" spans="1:8" ht="20.100000000000001" customHeight="1" x14ac:dyDescent="0.25">
      <c r="A3" s="33"/>
      <c r="B3" s="32"/>
      <c r="C3" s="44" t="s">
        <v>44</v>
      </c>
      <c r="D3" s="30" t="s">
        <v>34</v>
      </c>
      <c r="E3" s="30"/>
      <c r="F3" s="29" t="s">
        <v>43</v>
      </c>
      <c r="G3" s="29" t="s">
        <v>42</v>
      </c>
      <c r="H3" s="28" t="s">
        <v>41</v>
      </c>
    </row>
    <row r="4" spans="1:8" ht="20.100000000000001" customHeight="1" x14ac:dyDescent="0.25">
      <c r="A4" s="20">
        <v>1</v>
      </c>
      <c r="B4" s="19" t="s">
        <v>40</v>
      </c>
      <c r="C4" s="51">
        <f>C10+C11+C12</f>
        <v>139.406576</v>
      </c>
      <c r="D4" s="3">
        <f>D10+D11+D12</f>
        <v>37.826576000000003</v>
      </c>
      <c r="E4" s="3"/>
      <c r="F4" s="3">
        <f>F5+F10+F11+F12</f>
        <v>83.9</v>
      </c>
      <c r="G4" s="3">
        <f>G5+G10+G11+G12</f>
        <v>105.65809064800001</v>
      </c>
      <c r="H4" s="27">
        <f>H5+H10+H11+H12</f>
        <v>59.822805659488012</v>
      </c>
    </row>
    <row r="5" spans="1:8" ht="20.100000000000001" customHeight="1" x14ac:dyDescent="0.25">
      <c r="A5" s="11" t="s">
        <v>39</v>
      </c>
      <c r="B5" s="10" t="s">
        <v>38</v>
      </c>
      <c r="C5" s="52"/>
      <c r="D5" s="25"/>
      <c r="E5" s="25"/>
      <c r="F5" s="3">
        <f>F7</f>
        <v>0</v>
      </c>
      <c r="G5" s="3">
        <f>G7+G8</f>
        <v>87.978090648000006</v>
      </c>
      <c r="H5" s="27">
        <f>H8+H9</f>
        <v>59.822805659488012</v>
      </c>
    </row>
    <row r="6" spans="1:8" ht="20.100000000000001" customHeight="1" x14ac:dyDescent="0.25">
      <c r="A6" s="11" t="s">
        <v>37</v>
      </c>
      <c r="B6" s="15" t="s">
        <v>36</v>
      </c>
      <c r="C6" s="52"/>
      <c r="D6" s="25"/>
      <c r="E6" s="25"/>
      <c r="F6" s="25"/>
      <c r="G6" s="25"/>
      <c r="H6" s="26"/>
    </row>
    <row r="7" spans="1:8" ht="20.100000000000001" customHeight="1" x14ac:dyDescent="0.25">
      <c r="A7" s="11" t="s">
        <v>35</v>
      </c>
      <c r="B7" s="15" t="s">
        <v>34</v>
      </c>
      <c r="C7" s="52"/>
      <c r="D7" s="25"/>
      <c r="E7" s="25"/>
      <c r="F7" s="14"/>
      <c r="G7" s="14">
        <f>D16-D17-D22-F7</f>
        <v>4.0780906479999999</v>
      </c>
      <c r="H7" s="26"/>
    </row>
    <row r="8" spans="1:8" ht="20.100000000000001" customHeight="1" x14ac:dyDescent="0.25">
      <c r="A8" s="11" t="s">
        <v>33</v>
      </c>
      <c r="B8" s="15" t="s">
        <v>32</v>
      </c>
      <c r="C8" s="52"/>
      <c r="D8" s="25"/>
      <c r="E8" s="25"/>
      <c r="F8" s="25"/>
      <c r="G8" s="14">
        <f>F16-F17-F22-H8</f>
        <v>83.9</v>
      </c>
      <c r="H8" s="24"/>
    </row>
    <row r="9" spans="1:8" ht="20.100000000000001" customHeight="1" x14ac:dyDescent="0.25">
      <c r="A9" s="11" t="s">
        <v>31</v>
      </c>
      <c r="B9" s="15" t="s">
        <v>30</v>
      </c>
      <c r="C9" s="53"/>
      <c r="D9" s="23"/>
      <c r="E9" s="23"/>
      <c r="F9" s="23"/>
      <c r="G9" s="23"/>
      <c r="H9" s="13">
        <f>G16-G17-G21-G22</f>
        <v>59.822805659488012</v>
      </c>
    </row>
    <row r="10" spans="1:8" ht="20.100000000000001" customHeight="1" x14ac:dyDescent="0.25">
      <c r="A10" s="11" t="s">
        <v>29</v>
      </c>
      <c r="B10" s="10" t="s">
        <v>28</v>
      </c>
      <c r="C10" s="51">
        <f>D10+F10+G10+H10</f>
        <v>0</v>
      </c>
      <c r="D10" s="14"/>
      <c r="E10" s="14"/>
      <c r="F10" s="14"/>
      <c r="G10" s="14"/>
      <c r="H10" s="13"/>
    </row>
    <row r="11" spans="1:8" ht="20.100000000000001" customHeight="1" x14ac:dyDescent="0.25">
      <c r="A11" s="11" t="s">
        <v>27</v>
      </c>
      <c r="B11" s="10" t="s">
        <v>26</v>
      </c>
      <c r="C11" s="51">
        <f>D11+F11+G11+H11</f>
        <v>0</v>
      </c>
      <c r="D11" s="14"/>
      <c r="E11" s="14"/>
      <c r="F11" s="14"/>
      <c r="G11" s="14"/>
      <c r="H11" s="13"/>
    </row>
    <row r="12" spans="1:8" ht="20.100000000000001" customHeight="1" x14ac:dyDescent="0.25">
      <c r="A12" s="11" t="s">
        <v>25</v>
      </c>
      <c r="B12" s="10" t="s">
        <v>24</v>
      </c>
      <c r="C12" s="51">
        <f>D12+F12+G12+H12</f>
        <v>139.406576</v>
      </c>
      <c r="D12" s="14">
        <f>115.02-'[1]Свод по актам'!$C$15</f>
        <v>37.826576000000003</v>
      </c>
      <c r="E12" s="14"/>
      <c r="F12" s="14">
        <v>83.9</v>
      </c>
      <c r="G12" s="14">
        <v>17.68</v>
      </c>
      <c r="H12" s="13"/>
    </row>
    <row r="13" spans="1:8" ht="20.100000000000001" customHeight="1" x14ac:dyDescent="0.25">
      <c r="A13" s="20">
        <v>2</v>
      </c>
      <c r="B13" s="22" t="s">
        <v>23</v>
      </c>
      <c r="C13" s="51">
        <f>D13+F13+G13+H13</f>
        <v>8.3501031987670196</v>
      </c>
      <c r="D13" s="3">
        <f>D4*D14/100</f>
        <v>0.54848535200000004</v>
      </c>
      <c r="E13" s="21"/>
      <c r="F13" s="3">
        <f>F4*F14/100</f>
        <v>0</v>
      </c>
      <c r="G13" s="3">
        <f>G4*G14/100</f>
        <v>4.6489559885120011</v>
      </c>
      <c r="H13" s="18">
        <f>H4*H14/100</f>
        <v>3.1526618582550179</v>
      </c>
    </row>
    <row r="14" spans="1:8" ht="20.100000000000001" customHeight="1" x14ac:dyDescent="0.25">
      <c r="A14" s="17" t="s">
        <v>22</v>
      </c>
      <c r="B14" s="16" t="s">
        <v>21</v>
      </c>
      <c r="C14" s="51">
        <f>C13/C4*100</f>
        <v>5.9897484310690041</v>
      </c>
      <c r="D14" s="14">
        <v>1.45</v>
      </c>
      <c r="E14" s="14"/>
      <c r="F14" s="14">
        <v>0</v>
      </c>
      <c r="G14" s="14">
        <v>4.4000000000000004</v>
      </c>
      <c r="H14" s="13">
        <v>5.27</v>
      </c>
    </row>
    <row r="15" spans="1:8" ht="20.100000000000001" customHeight="1" x14ac:dyDescent="0.25">
      <c r="A15" s="20">
        <v>3</v>
      </c>
      <c r="B15" s="19" t="s">
        <v>20</v>
      </c>
      <c r="C15" s="51">
        <f>D15+F15+G15+H15</f>
        <v>0</v>
      </c>
      <c r="D15" s="14"/>
      <c r="E15" s="14"/>
      <c r="F15" s="14"/>
      <c r="G15" s="14"/>
      <c r="H15" s="13"/>
    </row>
    <row r="16" spans="1:8" ht="20.100000000000001" customHeight="1" x14ac:dyDescent="0.25">
      <c r="A16" s="20">
        <v>4</v>
      </c>
      <c r="B16" s="19" t="s">
        <v>19</v>
      </c>
      <c r="C16" s="51">
        <f>C4-C13-C15</f>
        <v>131.05647280123299</v>
      </c>
      <c r="D16" s="3">
        <f>D4-D13-D15</f>
        <v>37.278090648000003</v>
      </c>
      <c r="E16" s="3"/>
      <c r="F16" s="3">
        <f>F4-F13-F15</f>
        <v>83.9</v>
      </c>
      <c r="G16" s="3">
        <f>G4-G13-G15</f>
        <v>101.00913465948801</v>
      </c>
      <c r="H16" s="18">
        <f>H4-H13-H15</f>
        <v>56.670143801232996</v>
      </c>
    </row>
    <row r="17" spans="1:8" ht="20.100000000000001" customHeight="1" x14ac:dyDescent="0.25">
      <c r="A17" s="17"/>
      <c r="B17" s="16" t="s">
        <v>18</v>
      </c>
      <c r="C17" s="51">
        <f t="shared" ref="C17:C22" si="0">D17+F17+G17+H17</f>
        <v>0</v>
      </c>
      <c r="D17" s="14"/>
      <c r="E17" s="14"/>
      <c r="F17" s="14"/>
      <c r="G17" s="14"/>
      <c r="H17" s="13"/>
    </row>
    <row r="18" spans="1:8" ht="20.100000000000001" customHeight="1" x14ac:dyDescent="0.25">
      <c r="A18" s="11" t="s">
        <v>17</v>
      </c>
      <c r="B18" s="15" t="s">
        <v>16</v>
      </c>
      <c r="C18" s="51">
        <f t="shared" si="0"/>
        <v>0</v>
      </c>
      <c r="D18" s="14"/>
      <c r="E18" s="14"/>
      <c r="F18" s="14"/>
      <c r="G18" s="14"/>
      <c r="H18" s="13"/>
    </row>
    <row r="19" spans="1:8" ht="20.100000000000001" customHeight="1" x14ac:dyDescent="0.25">
      <c r="A19" s="11" t="s">
        <v>15</v>
      </c>
      <c r="B19" s="15" t="s">
        <v>14</v>
      </c>
      <c r="C19" s="51">
        <f t="shared" si="0"/>
        <v>0</v>
      </c>
      <c r="D19" s="14"/>
      <c r="E19" s="14"/>
      <c r="F19" s="14"/>
      <c r="G19" s="14"/>
      <c r="H19" s="13"/>
    </row>
    <row r="20" spans="1:8" ht="20.100000000000001" customHeight="1" x14ac:dyDescent="0.25">
      <c r="A20" s="11" t="s">
        <v>13</v>
      </c>
      <c r="B20" s="15" t="s">
        <v>12</v>
      </c>
      <c r="C20" s="51">
        <f t="shared" si="0"/>
        <v>0</v>
      </c>
      <c r="D20" s="14"/>
      <c r="E20" s="14"/>
      <c r="F20" s="14"/>
      <c r="G20" s="14"/>
      <c r="H20" s="13"/>
    </row>
    <row r="21" spans="1:8" ht="20.100000000000001" customHeight="1" x14ac:dyDescent="0.25">
      <c r="A21" s="11" t="s">
        <v>11</v>
      </c>
      <c r="B21" s="12" t="s">
        <v>10</v>
      </c>
      <c r="C21" s="51">
        <f t="shared" si="0"/>
        <v>0</v>
      </c>
      <c r="D21" s="9"/>
      <c r="E21" s="9"/>
      <c r="F21" s="9"/>
      <c r="G21" s="9"/>
      <c r="H21" s="8"/>
    </row>
    <row r="22" spans="1:8" ht="20.100000000000001" customHeight="1" x14ac:dyDescent="0.25">
      <c r="A22" s="11" t="s">
        <v>9</v>
      </c>
      <c r="B22" s="10" t="s">
        <v>8</v>
      </c>
      <c r="C22" s="51">
        <f t="shared" si="0"/>
        <v>131.05647280123299</v>
      </c>
      <c r="D22" s="9">
        <v>33.200000000000003</v>
      </c>
      <c r="E22" s="9"/>
      <c r="F22" s="9">
        <v>0</v>
      </c>
      <c r="G22" s="9">
        <f>114.58-'[1]Свод по актам'!$J$15</f>
        <v>41.186329000000001</v>
      </c>
      <c r="H22" s="8">
        <f>H16</f>
        <v>56.670143801232996</v>
      </c>
    </row>
    <row r="23" spans="1:8" ht="20.100000000000001" customHeight="1" x14ac:dyDescent="0.25">
      <c r="A23" s="5" t="s">
        <v>7</v>
      </c>
      <c r="B23" s="4" t="s">
        <v>6</v>
      </c>
      <c r="C23" s="51">
        <f>C4-C13-C15-C17-C22</f>
        <v>0</v>
      </c>
      <c r="D23" s="2">
        <f>D4-D13-D15-D17-D22-F7-G7</f>
        <v>0</v>
      </c>
      <c r="E23" s="2"/>
      <c r="F23" s="2">
        <f>F4-F13-F15-F17-F22-G8-H8</f>
        <v>0</v>
      </c>
      <c r="G23" s="2">
        <f>G4-G13-G15-G17-G22-H9</f>
        <v>0</v>
      </c>
      <c r="H23" s="1">
        <f>H4-H13-H15-H17-H22</f>
        <v>0</v>
      </c>
    </row>
    <row r="24" spans="1:8" ht="20.100000000000001" customHeight="1" x14ac:dyDescent="0.25">
      <c r="A24" s="5" t="s">
        <v>5</v>
      </c>
      <c r="B24" s="4" t="s">
        <v>4</v>
      </c>
      <c r="C24" s="51">
        <f>IF(C16 = 0,0,C22/C16)</f>
        <v>1</v>
      </c>
      <c r="D24" s="7"/>
      <c r="E24" s="7"/>
      <c r="F24" s="7"/>
      <c r="G24" s="7"/>
      <c r="H24" s="6"/>
    </row>
    <row r="25" spans="1:8" ht="20.100000000000001" customHeight="1" x14ac:dyDescent="0.25">
      <c r="A25" s="5" t="s">
        <v>3</v>
      </c>
      <c r="B25" s="4" t="s">
        <v>2</v>
      </c>
      <c r="C25" s="51">
        <f>C22+C26+C15*C24</f>
        <v>139.406576</v>
      </c>
      <c r="D25" s="7"/>
      <c r="E25" s="7"/>
      <c r="F25" s="7"/>
      <c r="G25" s="7"/>
      <c r="H25" s="6"/>
    </row>
    <row r="26" spans="1:8" ht="20.100000000000001" customHeight="1" x14ac:dyDescent="0.25">
      <c r="A26" s="5" t="s">
        <v>1</v>
      </c>
      <c r="B26" s="4" t="s">
        <v>0</v>
      </c>
      <c r="C26" s="51">
        <f>C13*C24</f>
        <v>8.3501031987670196</v>
      </c>
      <c r="D26" s="2">
        <f>D13*A$34</f>
        <v>0</v>
      </c>
      <c r="E26" s="2"/>
      <c r="F26" s="2">
        <f>F13*A$34</f>
        <v>0</v>
      </c>
      <c r="G26" s="2">
        <f>G13*A$34</f>
        <v>0</v>
      </c>
      <c r="H26" s="1">
        <f>H13*A$34</f>
        <v>0</v>
      </c>
    </row>
  </sheetData>
  <mergeCells count="4">
    <mergeCell ref="C1:H1"/>
    <mergeCell ref="C2:H2"/>
    <mergeCell ref="A1:A3"/>
    <mergeCell ref="B1:B3"/>
  </mergeCells>
  <dataValidations count="1">
    <dataValidation type="decimal" allowBlank="1" showInputMessage="1" showErrorMessage="1" errorTitle="Внимание" error="Допускается ввод только действительных чисел!" sqref="D21:H26">
      <formula1>-9.99999999999999E+23</formula1>
      <formula2>9.99999999999999E+23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L18" sqref="L18"/>
    </sheetView>
  </sheetViews>
  <sheetFormatPr defaultRowHeight="15" x14ac:dyDescent="0.25"/>
  <cols>
    <col min="2" max="2" width="33.28515625" customWidth="1"/>
  </cols>
  <sheetData>
    <row r="1" spans="1:8" ht="20.100000000000001" customHeight="1" x14ac:dyDescent="0.25">
      <c r="A1" s="41" t="s">
        <v>46</v>
      </c>
      <c r="B1" s="40" t="s">
        <v>45</v>
      </c>
      <c r="C1" s="39" t="str">
        <f>" " &amp; IF(god="","Не определено",god+3) &amp; " год"</f>
        <v xml:space="preserve"> 2018 год</v>
      </c>
      <c r="D1" s="39"/>
      <c r="E1" s="39"/>
      <c r="F1" s="39"/>
      <c r="G1" s="39"/>
      <c r="H1" s="39"/>
    </row>
    <row r="2" spans="1:8" ht="20.100000000000001" customHeight="1" x14ac:dyDescent="0.25">
      <c r="A2" s="38"/>
      <c r="B2" s="37"/>
      <c r="C2" s="36" t="str">
        <f>IF(god,"Предложение организации на "&amp;god+3 &amp; " год","-")</f>
        <v>Предложение организации на 2018 год</v>
      </c>
      <c r="D2" s="35"/>
      <c r="E2" s="35"/>
      <c r="F2" s="35"/>
      <c r="G2" s="35"/>
      <c r="H2" s="34"/>
    </row>
    <row r="3" spans="1:8" ht="20.100000000000001" customHeight="1" x14ac:dyDescent="0.25">
      <c r="A3" s="33"/>
      <c r="B3" s="32"/>
      <c r="C3" s="31" t="s">
        <v>44</v>
      </c>
      <c r="D3" s="30" t="s">
        <v>34</v>
      </c>
      <c r="E3" s="30"/>
      <c r="F3" s="29" t="s">
        <v>43</v>
      </c>
      <c r="G3" s="29" t="s">
        <v>42</v>
      </c>
      <c r="H3" s="28" t="s">
        <v>41</v>
      </c>
    </row>
    <row r="4" spans="1:8" ht="20.100000000000001" customHeight="1" x14ac:dyDescent="0.25">
      <c r="A4" s="20">
        <v>1</v>
      </c>
      <c r="B4" s="19" t="s">
        <v>40</v>
      </c>
      <c r="C4" s="3">
        <f>C10+C11+C12</f>
        <v>141.186576</v>
      </c>
      <c r="D4" s="3">
        <f>D10+D11+D12</f>
        <v>38.586576000000008</v>
      </c>
      <c r="E4" s="3"/>
      <c r="F4" s="3">
        <f>F5+F10+F11+F12</f>
        <v>84.45</v>
      </c>
      <c r="G4" s="3">
        <f>G5+G10+G11+G12</f>
        <v>106.79620138720003</v>
      </c>
      <c r="H4" s="27">
        <f>H5+H10+H11+H12</f>
        <v>58.91083952616323</v>
      </c>
    </row>
    <row r="5" spans="1:8" ht="20.100000000000001" customHeight="1" x14ac:dyDescent="0.25">
      <c r="A5" s="11" t="s">
        <v>39</v>
      </c>
      <c r="B5" s="10" t="s">
        <v>38</v>
      </c>
      <c r="C5" s="25"/>
      <c r="D5" s="25"/>
      <c r="E5" s="25"/>
      <c r="F5" s="3">
        <f>F7</f>
        <v>0</v>
      </c>
      <c r="G5" s="3">
        <f>G7+G8</f>
        <v>88.646201387200023</v>
      </c>
      <c r="H5" s="27">
        <f>H8+H9</f>
        <v>58.91083952616323</v>
      </c>
    </row>
    <row r="6" spans="1:8" ht="20.100000000000001" customHeight="1" x14ac:dyDescent="0.25">
      <c r="A6" s="11" t="s">
        <v>37</v>
      </c>
      <c r="B6" s="15" t="s">
        <v>36</v>
      </c>
      <c r="C6" s="25"/>
      <c r="D6" s="25"/>
      <c r="E6" s="25"/>
      <c r="F6" s="25"/>
      <c r="G6" s="25"/>
      <c r="H6" s="26"/>
    </row>
    <row r="7" spans="1:8" ht="20.100000000000001" customHeight="1" x14ac:dyDescent="0.25">
      <c r="A7" s="11" t="s">
        <v>35</v>
      </c>
      <c r="B7" s="15" t="s">
        <v>34</v>
      </c>
      <c r="C7" s="25"/>
      <c r="D7" s="25"/>
      <c r="E7" s="25"/>
      <c r="F7" s="14"/>
      <c r="G7" s="14">
        <f>D16-D17-D22-F7</f>
        <v>4.1962013872000128</v>
      </c>
      <c r="H7" s="26"/>
    </row>
    <row r="8" spans="1:8" ht="20.100000000000001" customHeight="1" x14ac:dyDescent="0.25">
      <c r="A8" s="11" t="s">
        <v>33</v>
      </c>
      <c r="B8" s="15" t="s">
        <v>32</v>
      </c>
      <c r="C8" s="25"/>
      <c r="D8" s="25"/>
      <c r="E8" s="25"/>
      <c r="F8" s="25"/>
      <c r="G8" s="14">
        <f>F16-F17-F22-H8</f>
        <v>84.45</v>
      </c>
      <c r="H8" s="24"/>
    </row>
    <row r="9" spans="1:8" ht="20.100000000000001" customHeight="1" x14ac:dyDescent="0.25">
      <c r="A9" s="11" t="s">
        <v>31</v>
      </c>
      <c r="B9" s="15" t="s">
        <v>30</v>
      </c>
      <c r="C9" s="23"/>
      <c r="D9" s="23"/>
      <c r="E9" s="23"/>
      <c r="F9" s="23"/>
      <c r="G9" s="23"/>
      <c r="H9" s="13">
        <f>G16-G17-G21-G22</f>
        <v>58.91083952616323</v>
      </c>
    </row>
    <row r="10" spans="1:8" ht="20.100000000000001" customHeight="1" x14ac:dyDescent="0.25">
      <c r="A10" s="11" t="s">
        <v>29</v>
      </c>
      <c r="B10" s="10" t="s">
        <v>28</v>
      </c>
      <c r="C10" s="3">
        <f>D10+F10+G10+H10</f>
        <v>0</v>
      </c>
      <c r="D10" s="14"/>
      <c r="E10" s="14"/>
      <c r="F10" s="14"/>
      <c r="G10" s="14"/>
      <c r="H10" s="13"/>
    </row>
    <row r="11" spans="1:8" ht="20.100000000000001" customHeight="1" x14ac:dyDescent="0.25">
      <c r="A11" s="11" t="s">
        <v>27</v>
      </c>
      <c r="B11" s="10" t="s">
        <v>26</v>
      </c>
      <c r="C11" s="3">
        <f>D11+F11+G11+H11</f>
        <v>0</v>
      </c>
      <c r="D11" s="14"/>
      <c r="E11" s="14"/>
      <c r="F11" s="14"/>
      <c r="G11" s="14"/>
      <c r="H11" s="13"/>
    </row>
    <row r="12" spans="1:8" ht="20.100000000000001" customHeight="1" x14ac:dyDescent="0.25">
      <c r="A12" s="11" t="s">
        <v>25</v>
      </c>
      <c r="B12" s="10" t="s">
        <v>24</v>
      </c>
      <c r="C12" s="3">
        <f>D12+F12+G12+H12</f>
        <v>141.186576</v>
      </c>
      <c r="D12" s="14">
        <f>115.78-'[1]Свод по актам'!$C$15</f>
        <v>38.586576000000008</v>
      </c>
      <c r="E12" s="14"/>
      <c r="F12" s="14">
        <v>84.45</v>
      </c>
      <c r="G12" s="14">
        <v>18.149999999999999</v>
      </c>
      <c r="H12" s="13"/>
    </row>
    <row r="13" spans="1:8" ht="20.100000000000001" customHeight="1" x14ac:dyDescent="0.25">
      <c r="A13" s="20">
        <v>2</v>
      </c>
      <c r="B13" s="22" t="s">
        <v>23</v>
      </c>
      <c r="C13" s="3">
        <f>D13+F13+G13+H13</f>
        <v>8.4588106403443835</v>
      </c>
      <c r="D13" s="3">
        <f>D4*D14/100</f>
        <v>0.59037461280000014</v>
      </c>
      <c r="E13" s="21"/>
      <c r="F13" s="3">
        <f>F4*F14/100</f>
        <v>0</v>
      </c>
      <c r="G13" s="3">
        <f>G4*G14/100</f>
        <v>4.6990328610368017</v>
      </c>
      <c r="H13" s="18">
        <f>H4*H14/100</f>
        <v>3.1694031665075819</v>
      </c>
    </row>
    <row r="14" spans="1:8" ht="20.100000000000001" customHeight="1" x14ac:dyDescent="0.25">
      <c r="A14" s="17" t="s">
        <v>22</v>
      </c>
      <c r="B14" s="16" t="s">
        <v>21</v>
      </c>
      <c r="C14" s="3">
        <f>C13/C4*100</f>
        <v>5.9912286847613494</v>
      </c>
      <c r="D14" s="14">
        <v>1.53</v>
      </c>
      <c r="E14" s="14"/>
      <c r="F14" s="14">
        <v>0</v>
      </c>
      <c r="G14" s="14">
        <v>4.4000000000000004</v>
      </c>
      <c r="H14" s="13">
        <v>5.38</v>
      </c>
    </row>
    <row r="15" spans="1:8" ht="20.100000000000001" customHeight="1" x14ac:dyDescent="0.25">
      <c r="A15" s="20">
        <v>3</v>
      </c>
      <c r="B15" s="19" t="s">
        <v>20</v>
      </c>
      <c r="C15" s="3">
        <f>D15+F15+G15+H15</f>
        <v>0</v>
      </c>
      <c r="D15" s="14"/>
      <c r="E15" s="14"/>
      <c r="F15" s="14"/>
      <c r="G15" s="14"/>
      <c r="H15" s="13"/>
    </row>
    <row r="16" spans="1:8" ht="20.100000000000001" customHeight="1" x14ac:dyDescent="0.25">
      <c r="A16" s="20">
        <v>4</v>
      </c>
      <c r="B16" s="19" t="s">
        <v>19</v>
      </c>
      <c r="C16" s="3">
        <f>C4-C13-C15</f>
        <v>132.72776535965562</v>
      </c>
      <c r="D16" s="3">
        <f>D4-D13-D15</f>
        <v>37.99620138720001</v>
      </c>
      <c r="E16" s="3"/>
      <c r="F16" s="3">
        <f>F4-F13-F15</f>
        <v>84.45</v>
      </c>
      <c r="G16" s="3">
        <f>G4-G13-G15</f>
        <v>102.09716852616323</v>
      </c>
      <c r="H16" s="18">
        <f>H4-H13-H15</f>
        <v>55.741436359655651</v>
      </c>
    </row>
    <row r="17" spans="1:8" ht="20.100000000000001" customHeight="1" x14ac:dyDescent="0.25">
      <c r="A17" s="17"/>
      <c r="B17" s="16" t="s">
        <v>18</v>
      </c>
      <c r="C17" s="3">
        <f t="shared" ref="C17:C22" si="0">D17+F17+G17+H17</f>
        <v>0</v>
      </c>
      <c r="D17" s="14"/>
      <c r="E17" s="14"/>
      <c r="F17" s="14"/>
      <c r="G17" s="14"/>
      <c r="H17" s="13"/>
    </row>
    <row r="18" spans="1:8" ht="20.100000000000001" customHeight="1" x14ac:dyDescent="0.25">
      <c r="A18" s="11" t="s">
        <v>17</v>
      </c>
      <c r="B18" s="15" t="s">
        <v>16</v>
      </c>
      <c r="C18" s="3">
        <f t="shared" si="0"/>
        <v>0</v>
      </c>
      <c r="D18" s="14"/>
      <c r="E18" s="14"/>
      <c r="F18" s="14"/>
      <c r="G18" s="14"/>
      <c r="H18" s="13"/>
    </row>
    <row r="19" spans="1:8" ht="20.100000000000001" customHeight="1" x14ac:dyDescent="0.25">
      <c r="A19" s="11" t="s">
        <v>15</v>
      </c>
      <c r="B19" s="15" t="s">
        <v>14</v>
      </c>
      <c r="C19" s="3">
        <f t="shared" si="0"/>
        <v>0</v>
      </c>
      <c r="D19" s="14"/>
      <c r="E19" s="14"/>
      <c r="F19" s="14"/>
      <c r="G19" s="14"/>
      <c r="H19" s="13"/>
    </row>
    <row r="20" spans="1:8" ht="20.100000000000001" customHeight="1" x14ac:dyDescent="0.25">
      <c r="A20" s="11" t="s">
        <v>13</v>
      </c>
      <c r="B20" s="15" t="s">
        <v>12</v>
      </c>
      <c r="C20" s="3">
        <f t="shared" si="0"/>
        <v>0</v>
      </c>
      <c r="D20" s="14"/>
      <c r="E20" s="14"/>
      <c r="F20" s="14"/>
      <c r="G20" s="14"/>
      <c r="H20" s="13"/>
    </row>
    <row r="21" spans="1:8" ht="20.100000000000001" customHeight="1" x14ac:dyDescent="0.25">
      <c r="A21" s="11" t="s">
        <v>11</v>
      </c>
      <c r="B21" s="12" t="s">
        <v>10</v>
      </c>
      <c r="C21" s="3">
        <f t="shared" si="0"/>
        <v>0</v>
      </c>
      <c r="D21" s="9"/>
      <c r="E21" s="9"/>
      <c r="F21" s="9"/>
      <c r="G21" s="9"/>
      <c r="H21" s="8"/>
    </row>
    <row r="22" spans="1:8" ht="20.100000000000001" customHeight="1" x14ac:dyDescent="0.25">
      <c r="A22" s="11" t="s">
        <v>9</v>
      </c>
      <c r="B22" s="10" t="s">
        <v>8</v>
      </c>
      <c r="C22" s="3">
        <f t="shared" si="0"/>
        <v>132.72776535965565</v>
      </c>
      <c r="D22" s="9">
        <v>33.799999999999997</v>
      </c>
      <c r="E22" s="9"/>
      <c r="F22" s="9">
        <v>0</v>
      </c>
      <c r="G22" s="9">
        <f>116.58-'[1]Свод по актам'!$J$15</f>
        <v>43.186329000000001</v>
      </c>
      <c r="H22" s="8">
        <f>H16</f>
        <v>55.741436359655651</v>
      </c>
    </row>
    <row r="23" spans="1:8" ht="20.100000000000001" customHeight="1" x14ac:dyDescent="0.25">
      <c r="A23" s="5" t="s">
        <v>7</v>
      </c>
      <c r="B23" s="4" t="s">
        <v>6</v>
      </c>
      <c r="C23" s="3">
        <f>C4-C13-C15-C17-C22</f>
        <v>0</v>
      </c>
      <c r="D23" s="2">
        <f>D4-D13-D15-D17-D22-F7-G7</f>
        <v>0</v>
      </c>
      <c r="E23" s="2"/>
      <c r="F23" s="2">
        <f>F4-F13-F15-F17-F22-G8-H8</f>
        <v>0</v>
      </c>
      <c r="G23" s="2">
        <f>G4-G13-G15-G17-G22-H9</f>
        <v>0</v>
      </c>
      <c r="H23" s="1">
        <f>H4-H13-H15-H17-H22</f>
        <v>0</v>
      </c>
    </row>
    <row r="24" spans="1:8" ht="20.100000000000001" customHeight="1" x14ac:dyDescent="0.25">
      <c r="A24" s="5" t="s">
        <v>5</v>
      </c>
      <c r="B24" s="4" t="s">
        <v>4</v>
      </c>
      <c r="C24" s="3">
        <f>IF(C16 = 0,0,C22/C16)</f>
        <v>1.0000000000000002</v>
      </c>
      <c r="D24" s="7"/>
      <c r="E24" s="7"/>
      <c r="F24" s="7"/>
      <c r="G24" s="7"/>
      <c r="H24" s="6"/>
    </row>
    <row r="25" spans="1:8" ht="20.100000000000001" customHeight="1" x14ac:dyDescent="0.25">
      <c r="A25" s="5" t="s">
        <v>3</v>
      </c>
      <c r="B25" s="4" t="s">
        <v>2</v>
      </c>
      <c r="C25" s="3">
        <f>C22+C26+C15*C24</f>
        <v>141.18657600000003</v>
      </c>
      <c r="D25" s="7"/>
      <c r="E25" s="7"/>
      <c r="F25" s="7"/>
      <c r="G25" s="7"/>
      <c r="H25" s="6"/>
    </row>
    <row r="26" spans="1:8" ht="20.100000000000001" customHeight="1" x14ac:dyDescent="0.25">
      <c r="A26" s="5" t="s">
        <v>1</v>
      </c>
      <c r="B26" s="4" t="s">
        <v>0</v>
      </c>
      <c r="C26" s="3">
        <f>C13*C24</f>
        <v>8.4588106403443852</v>
      </c>
      <c r="D26" s="2">
        <f>D13*A$34</f>
        <v>0</v>
      </c>
      <c r="E26" s="2"/>
      <c r="F26" s="2">
        <f>F13*A$34</f>
        <v>0</v>
      </c>
      <c r="G26" s="2">
        <f>G13*A$34</f>
        <v>0</v>
      </c>
      <c r="H26" s="1">
        <f>H13*A$34</f>
        <v>0</v>
      </c>
    </row>
  </sheetData>
  <mergeCells count="4">
    <mergeCell ref="C1:H1"/>
    <mergeCell ref="C2:H2"/>
    <mergeCell ref="A1:A3"/>
    <mergeCell ref="B1:B3"/>
  </mergeCells>
  <dataValidations count="1">
    <dataValidation type="decimal" allowBlank="1" showInputMessage="1" showErrorMessage="1" errorTitle="Внимание" error="Допускается ввод только действительных чисел!" sqref="D21:H26">
      <formula1>-9.99999999999999E+23</formula1>
      <formula2>9.99999999999999E+23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M22" sqref="M22"/>
    </sheetView>
  </sheetViews>
  <sheetFormatPr defaultRowHeight="15" x14ac:dyDescent="0.25"/>
  <cols>
    <col min="2" max="2" width="31" customWidth="1"/>
  </cols>
  <sheetData>
    <row r="1" spans="1:8" ht="20.100000000000001" customHeight="1" x14ac:dyDescent="0.25">
      <c r="A1" s="41" t="s">
        <v>46</v>
      </c>
      <c r="B1" s="40" t="s">
        <v>45</v>
      </c>
      <c r="C1" s="39" t="str">
        <f>" " &amp; IF(god="","Не определено",god+4) &amp; " год"</f>
        <v xml:space="preserve"> 2019 год</v>
      </c>
      <c r="D1" s="39"/>
      <c r="E1" s="39"/>
      <c r="F1" s="39"/>
      <c r="G1" s="39"/>
      <c r="H1" s="39"/>
    </row>
    <row r="2" spans="1:8" ht="20.100000000000001" customHeight="1" x14ac:dyDescent="0.25">
      <c r="A2" s="38"/>
      <c r="B2" s="37"/>
      <c r="C2" s="36" t="str">
        <f>IF(god,"Предложение организации на "&amp;god+4 &amp; " год","-")</f>
        <v>Предложение организации на 2019 год</v>
      </c>
      <c r="D2" s="35"/>
      <c r="E2" s="35"/>
      <c r="F2" s="35"/>
      <c r="G2" s="35"/>
      <c r="H2" s="34"/>
    </row>
    <row r="3" spans="1:8" ht="20.100000000000001" customHeight="1" x14ac:dyDescent="0.25">
      <c r="A3" s="33"/>
      <c r="B3" s="32"/>
      <c r="C3" s="31" t="s">
        <v>44</v>
      </c>
      <c r="D3" s="30" t="s">
        <v>34</v>
      </c>
      <c r="E3" s="30"/>
      <c r="F3" s="29" t="s">
        <v>43</v>
      </c>
      <c r="G3" s="29" t="s">
        <v>42</v>
      </c>
      <c r="H3" s="28" t="s">
        <v>41</v>
      </c>
    </row>
    <row r="4" spans="1:8" ht="20.100000000000001" customHeight="1" x14ac:dyDescent="0.25">
      <c r="A4" s="48"/>
      <c r="B4" s="48"/>
      <c r="C4" s="43"/>
      <c r="D4" s="42"/>
      <c r="E4" s="42"/>
      <c r="F4" s="42"/>
      <c r="G4" s="42"/>
      <c r="H4" s="42"/>
    </row>
    <row r="5" spans="1:8" ht="20.100000000000001" customHeight="1" x14ac:dyDescent="0.25">
      <c r="A5" s="49"/>
      <c r="B5" s="50"/>
      <c r="C5" s="43"/>
      <c r="D5" s="42"/>
      <c r="E5" s="42"/>
      <c r="F5" s="42"/>
      <c r="G5" s="42"/>
      <c r="H5" s="42"/>
    </row>
    <row r="6" spans="1:8" ht="20.100000000000001" customHeight="1" x14ac:dyDescent="0.25">
      <c r="A6" s="20">
        <v>1</v>
      </c>
      <c r="B6" s="19" t="s">
        <v>40</v>
      </c>
      <c r="C6" s="3">
        <f>C12+C13+C14</f>
        <v>145.14657600000001</v>
      </c>
      <c r="D6" s="3">
        <f>D12+D13+D14</f>
        <v>38.786576000000011</v>
      </c>
      <c r="E6" s="3"/>
      <c r="F6" s="3">
        <f>F7+F12+F13+F14</f>
        <v>86.16</v>
      </c>
      <c r="G6" s="3">
        <f>G7+G12+G13+G14</f>
        <v>109.75314138720002</v>
      </c>
      <c r="H6" s="27">
        <f>H7+H12+H13+H14</f>
        <v>60.415723537885782</v>
      </c>
    </row>
    <row r="7" spans="1:8" ht="20.100000000000001" customHeight="1" x14ac:dyDescent="0.25">
      <c r="A7" s="11" t="s">
        <v>39</v>
      </c>
      <c r="B7" s="10" t="s">
        <v>38</v>
      </c>
      <c r="C7" s="25"/>
      <c r="D7" s="25"/>
      <c r="E7" s="25"/>
      <c r="F7" s="3">
        <f>F9</f>
        <v>0</v>
      </c>
      <c r="G7" s="3">
        <f>G9+G10</f>
        <v>89.553141387200014</v>
      </c>
      <c r="H7" s="27">
        <f>H10+H11</f>
        <v>60.415723537885782</v>
      </c>
    </row>
    <row r="8" spans="1:8" ht="20.100000000000001" customHeight="1" x14ac:dyDescent="0.25">
      <c r="A8" s="11" t="s">
        <v>37</v>
      </c>
      <c r="B8" s="15" t="s">
        <v>36</v>
      </c>
      <c r="C8" s="25"/>
      <c r="D8" s="25"/>
      <c r="E8" s="25"/>
      <c r="F8" s="25"/>
      <c r="G8" s="25"/>
      <c r="H8" s="26"/>
    </row>
    <row r="9" spans="1:8" ht="20.100000000000001" customHeight="1" x14ac:dyDescent="0.25">
      <c r="A9" s="11" t="s">
        <v>35</v>
      </c>
      <c r="B9" s="15" t="s">
        <v>34</v>
      </c>
      <c r="C9" s="25"/>
      <c r="D9" s="25"/>
      <c r="E9" s="25"/>
      <c r="F9" s="14"/>
      <c r="G9" s="14">
        <f>D18-D19-D24-F9</f>
        <v>3.3931413872000107</v>
      </c>
      <c r="H9" s="26"/>
    </row>
    <row r="10" spans="1:8" ht="20.100000000000001" customHeight="1" x14ac:dyDescent="0.25">
      <c r="A10" s="11" t="s">
        <v>33</v>
      </c>
      <c r="B10" s="15" t="s">
        <v>32</v>
      </c>
      <c r="C10" s="25"/>
      <c r="D10" s="25"/>
      <c r="E10" s="25"/>
      <c r="F10" s="25"/>
      <c r="G10" s="14">
        <f>F18-F19-F24-H10</f>
        <v>86.16</v>
      </c>
      <c r="H10" s="24"/>
    </row>
    <row r="11" spans="1:8" ht="20.100000000000001" customHeight="1" x14ac:dyDescent="0.25">
      <c r="A11" s="11" t="s">
        <v>31</v>
      </c>
      <c r="B11" s="15" t="s">
        <v>30</v>
      </c>
      <c r="C11" s="23"/>
      <c r="D11" s="23"/>
      <c r="E11" s="23"/>
      <c r="F11" s="23"/>
      <c r="G11" s="23"/>
      <c r="H11" s="13">
        <f>G18-G19-G23-G24</f>
        <v>60.415723537885782</v>
      </c>
    </row>
    <row r="12" spans="1:8" ht="20.100000000000001" customHeight="1" x14ac:dyDescent="0.25">
      <c r="A12" s="11" t="s">
        <v>29</v>
      </c>
      <c r="B12" s="10" t="s">
        <v>28</v>
      </c>
      <c r="C12" s="3">
        <f>D12+F12+G12+H12</f>
        <v>0</v>
      </c>
      <c r="D12" s="14"/>
      <c r="E12" s="14"/>
      <c r="F12" s="14"/>
      <c r="G12" s="14"/>
      <c r="H12" s="13"/>
    </row>
    <row r="13" spans="1:8" ht="20.100000000000001" customHeight="1" x14ac:dyDescent="0.25">
      <c r="A13" s="11" t="s">
        <v>27</v>
      </c>
      <c r="B13" s="10" t="s">
        <v>26</v>
      </c>
      <c r="C13" s="3">
        <f>D13+F13+G13+H13</f>
        <v>0</v>
      </c>
      <c r="D13" s="14"/>
      <c r="E13" s="14"/>
      <c r="F13" s="14"/>
      <c r="G13" s="14"/>
      <c r="H13" s="13"/>
    </row>
    <row r="14" spans="1:8" ht="20.100000000000001" customHeight="1" x14ac:dyDescent="0.25">
      <c r="A14" s="11" t="s">
        <v>25</v>
      </c>
      <c r="B14" s="10" t="s">
        <v>24</v>
      </c>
      <c r="C14" s="3">
        <f>D14+F14+G14+H14</f>
        <v>145.14657600000001</v>
      </c>
      <c r="D14" s="14">
        <f>115.98-'[1]Свод по актам'!$C$15</f>
        <v>38.786576000000011</v>
      </c>
      <c r="E14" s="14"/>
      <c r="F14" s="14">
        <v>86.16</v>
      </c>
      <c r="G14" s="14">
        <v>20.2</v>
      </c>
      <c r="H14" s="13"/>
    </row>
    <row r="15" spans="1:8" ht="20.100000000000001" customHeight="1" x14ac:dyDescent="0.25">
      <c r="A15" s="20">
        <v>2</v>
      </c>
      <c r="B15" s="22" t="s">
        <v>23</v>
      </c>
      <c r="C15" s="3">
        <f>D15+F15+G15+H15</f>
        <v>8.6948893884524967</v>
      </c>
      <c r="D15" s="3">
        <f>D6*D16/100</f>
        <v>0.59343461280000021</v>
      </c>
      <c r="E15" s="21"/>
      <c r="F15" s="3">
        <f>F6*F16/100</f>
        <v>0</v>
      </c>
      <c r="G15" s="3">
        <f>G6*G16/100</f>
        <v>4.851088849314241</v>
      </c>
      <c r="H15" s="18">
        <f>H6*H16/100</f>
        <v>3.2503659263382549</v>
      </c>
    </row>
    <row r="16" spans="1:8" ht="20.100000000000001" customHeight="1" x14ac:dyDescent="0.25">
      <c r="A16" s="17" t="s">
        <v>22</v>
      </c>
      <c r="B16" s="16" t="s">
        <v>21</v>
      </c>
      <c r="C16" s="3">
        <f>C15/C6*100</f>
        <v>5.9904199107338885</v>
      </c>
      <c r="D16" s="14">
        <v>1.53</v>
      </c>
      <c r="E16" s="14"/>
      <c r="F16" s="14">
        <v>0</v>
      </c>
      <c r="G16" s="14">
        <v>4.42</v>
      </c>
      <c r="H16" s="13">
        <v>5.38</v>
      </c>
    </row>
    <row r="17" spans="1:8" ht="20.100000000000001" customHeight="1" x14ac:dyDescent="0.25">
      <c r="A17" s="20">
        <v>3</v>
      </c>
      <c r="B17" s="19" t="s">
        <v>20</v>
      </c>
      <c r="C17" s="3">
        <f>D17+F17+G17+H17</f>
        <v>0</v>
      </c>
      <c r="D17" s="14"/>
      <c r="E17" s="14"/>
      <c r="F17" s="14"/>
      <c r="G17" s="14"/>
      <c r="H17" s="13"/>
    </row>
    <row r="18" spans="1:8" ht="20.100000000000001" customHeight="1" x14ac:dyDescent="0.25">
      <c r="A18" s="20">
        <v>4</v>
      </c>
      <c r="B18" s="19" t="s">
        <v>19</v>
      </c>
      <c r="C18" s="3">
        <f>C6-C15-C17</f>
        <v>136.4516866115475</v>
      </c>
      <c r="D18" s="3">
        <f>D6-D15-D17</f>
        <v>38.193141387200008</v>
      </c>
      <c r="E18" s="3"/>
      <c r="F18" s="3">
        <f>F6-F15-F17</f>
        <v>86.16</v>
      </c>
      <c r="G18" s="3">
        <f>G6-G15-G17</f>
        <v>104.90205253788578</v>
      </c>
      <c r="H18" s="18">
        <f>H6-H15-H17</f>
        <v>57.165357611547527</v>
      </c>
    </row>
    <row r="19" spans="1:8" ht="20.100000000000001" customHeight="1" x14ac:dyDescent="0.25">
      <c r="A19" s="17"/>
      <c r="B19" s="16" t="s">
        <v>18</v>
      </c>
      <c r="C19" s="3">
        <f t="shared" ref="C19:C24" si="0">D19+F19+G19+H19</f>
        <v>0</v>
      </c>
      <c r="D19" s="14"/>
      <c r="E19" s="14"/>
      <c r="F19" s="14"/>
      <c r="G19" s="14"/>
      <c r="H19" s="13"/>
    </row>
    <row r="20" spans="1:8" ht="20.100000000000001" customHeight="1" x14ac:dyDescent="0.25">
      <c r="A20" s="11" t="s">
        <v>17</v>
      </c>
      <c r="B20" s="15" t="s">
        <v>16</v>
      </c>
      <c r="C20" s="3">
        <f t="shared" si="0"/>
        <v>0</v>
      </c>
      <c r="D20" s="14"/>
      <c r="E20" s="14"/>
      <c r="F20" s="14"/>
      <c r="G20" s="14"/>
      <c r="H20" s="13"/>
    </row>
    <row r="21" spans="1:8" ht="20.100000000000001" customHeight="1" x14ac:dyDescent="0.25">
      <c r="A21" s="11" t="s">
        <v>15</v>
      </c>
      <c r="B21" s="15" t="s">
        <v>14</v>
      </c>
      <c r="C21" s="3">
        <f t="shared" si="0"/>
        <v>0</v>
      </c>
      <c r="D21" s="14"/>
      <c r="E21" s="14"/>
      <c r="F21" s="14"/>
      <c r="G21" s="14"/>
      <c r="H21" s="13"/>
    </row>
    <row r="22" spans="1:8" ht="20.100000000000001" customHeight="1" x14ac:dyDescent="0.25">
      <c r="A22" s="11" t="s">
        <v>13</v>
      </c>
      <c r="B22" s="15" t="s">
        <v>12</v>
      </c>
      <c r="C22" s="3">
        <f t="shared" si="0"/>
        <v>0</v>
      </c>
      <c r="D22" s="14"/>
      <c r="E22" s="14"/>
      <c r="F22" s="14"/>
      <c r="G22" s="14"/>
      <c r="H22" s="13"/>
    </row>
    <row r="23" spans="1:8" ht="20.100000000000001" customHeight="1" x14ac:dyDescent="0.25">
      <c r="A23" s="11" t="s">
        <v>11</v>
      </c>
      <c r="B23" s="12" t="s">
        <v>10</v>
      </c>
      <c r="C23" s="3">
        <f t="shared" si="0"/>
        <v>0</v>
      </c>
      <c r="D23" s="9"/>
      <c r="E23" s="9"/>
      <c r="F23" s="9"/>
      <c r="G23" s="9"/>
      <c r="H23" s="8"/>
    </row>
    <row r="24" spans="1:8" ht="20.100000000000001" customHeight="1" x14ac:dyDescent="0.25">
      <c r="A24" s="11" t="s">
        <v>9</v>
      </c>
      <c r="B24" s="10" t="s">
        <v>8</v>
      </c>
      <c r="C24" s="3">
        <f t="shared" si="0"/>
        <v>136.45168661154753</v>
      </c>
      <c r="D24" s="9">
        <v>34.799999999999997</v>
      </c>
      <c r="E24" s="9"/>
      <c r="F24" s="9">
        <v>0</v>
      </c>
      <c r="G24" s="9">
        <f>117.88-'[1]Свод по актам'!$J$15</f>
        <v>44.486328999999998</v>
      </c>
      <c r="H24" s="8">
        <f>H18</f>
        <v>57.165357611547527</v>
      </c>
    </row>
    <row r="25" spans="1:8" ht="20.100000000000001" customHeight="1" x14ac:dyDescent="0.25">
      <c r="A25" s="5" t="s">
        <v>7</v>
      </c>
      <c r="B25" s="4" t="s">
        <v>6</v>
      </c>
      <c r="C25" s="3">
        <f>C6-C15-C17-C19-C24</f>
        <v>0</v>
      </c>
      <c r="D25" s="2">
        <f>D6-D15-D17-D19-D24-F9-G9</f>
        <v>0</v>
      </c>
      <c r="E25" s="2"/>
      <c r="F25" s="2">
        <f>F6-F15-F17-F19-F24-G10-H10</f>
        <v>0</v>
      </c>
      <c r="G25" s="2">
        <f>G6-G15-G17-G19-G24-H11</f>
        <v>0</v>
      </c>
      <c r="H25" s="1">
        <f>H6-H15-H17-H19-H24</f>
        <v>0</v>
      </c>
    </row>
    <row r="26" spans="1:8" ht="20.100000000000001" customHeight="1" x14ac:dyDescent="0.25">
      <c r="A26" s="5" t="s">
        <v>5</v>
      </c>
      <c r="B26" s="4" t="s">
        <v>4</v>
      </c>
      <c r="C26" s="3">
        <f>IF(C18 = 0,0,C24/C18)</f>
        <v>1.0000000000000002</v>
      </c>
      <c r="D26" s="7"/>
      <c r="E26" s="7"/>
      <c r="F26" s="7"/>
      <c r="G26" s="7"/>
      <c r="H26" s="6"/>
    </row>
    <row r="27" spans="1:8" ht="20.100000000000001" customHeight="1" x14ac:dyDescent="0.25">
      <c r="A27" s="5" t="s">
        <v>3</v>
      </c>
      <c r="B27" s="4" t="s">
        <v>2</v>
      </c>
      <c r="C27" s="3">
        <f>C24+C28+C17*C26</f>
        <v>145.14657600000004</v>
      </c>
      <c r="D27" s="7"/>
      <c r="E27" s="7"/>
      <c r="F27" s="7"/>
      <c r="G27" s="7"/>
      <c r="H27" s="6"/>
    </row>
    <row r="28" spans="1:8" ht="20.100000000000001" customHeight="1" x14ac:dyDescent="0.25">
      <c r="A28" s="5" t="s">
        <v>1</v>
      </c>
      <c r="B28" s="4" t="s">
        <v>0</v>
      </c>
      <c r="C28" s="3">
        <f>C15*C26</f>
        <v>8.6948893884524985</v>
      </c>
      <c r="D28" s="2">
        <f>D15*A$36</f>
        <v>0</v>
      </c>
      <c r="E28" s="2"/>
      <c r="F28" s="2">
        <f>F15*A$36</f>
        <v>0</v>
      </c>
      <c r="G28" s="2">
        <f>G15*A$36</f>
        <v>0</v>
      </c>
      <c r="H28" s="1">
        <f>H15*A$36</f>
        <v>0</v>
      </c>
    </row>
  </sheetData>
  <mergeCells count="4">
    <mergeCell ref="C1:H1"/>
    <mergeCell ref="C2:H2"/>
    <mergeCell ref="A1:A3"/>
    <mergeCell ref="B1:B3"/>
  </mergeCells>
  <dataValidations count="1">
    <dataValidation type="decimal" allowBlank="1" showInputMessage="1" showErrorMessage="1" errorTitle="Внимание" error="Допускается ввод только действительных чисел!" sqref="D23:H28">
      <formula1>-9.99999999999999E+23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Мила</dc:creator>
  <cp:lastModifiedBy>Мила</cp:lastModifiedBy>
  <dcterms:created xsi:type="dcterms:W3CDTF">2014-10-07T09:33:51Z</dcterms:created>
  <dcterms:modified xsi:type="dcterms:W3CDTF">2014-10-07T09:50:24Z</dcterms:modified>
</cp:coreProperties>
</file>